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usdagcc.sharepoint.com/sites/MRP-AMS-TED/Shared Documents/GTR/WebZip Files/"/>
    </mc:Choice>
  </mc:AlternateContent>
  <xr:revisionPtr revIDLastSave="0" documentId="8_{047C15FB-3741-4870-9574-3D0602F4884E}" xr6:coauthVersionLast="47" xr6:coauthVersionMax="47" xr10:uidLastSave="{00000000-0000-0000-0000-000000000000}"/>
  <bookViews>
    <workbookView xWindow="22932" yWindow="-108" windowWidth="23256" windowHeight="12456" activeTab="3" xr2:uid="{00000000-000D-0000-FFFF-FFFF00000000}"/>
  </bookViews>
  <sheets>
    <sheet name="Notes" sheetId="11" r:id="rId1"/>
    <sheet name="Weights" sheetId="10" r:id="rId2"/>
    <sheet name="data" sheetId="1" r:id="rId3"/>
    <sheet name="GTR Figure" sheetId="12" r:id="rId4"/>
  </sheets>
  <definedNames>
    <definedName name="_xlnm.Print_Area" localSheetId="3">'GTR Figure'!$A$3:$J$18</definedName>
  </definedNames>
  <calcPr calcId="191028"/>
  <pivotCaches>
    <pivotCache cacheId="12" r:id="rId5"/>
    <pivotCache cacheId="13"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8" i="1" l="1"/>
  <c r="H308" i="1"/>
  <c r="L308" i="1"/>
  <c r="J308" i="1"/>
  <c r="I308" i="1"/>
  <c r="C308" i="1"/>
  <c r="D308" i="1"/>
  <c r="E308" i="1"/>
  <c r="F308" i="1"/>
  <c r="Q308" i="1"/>
  <c r="B308" i="1"/>
  <c r="I51" i="1"/>
  <c r="I49" i="1"/>
  <c r="I4" i="1"/>
  <c r="J4" i="1"/>
  <c r="I5" i="1"/>
  <c r="J5" i="1"/>
  <c r="I6" i="1"/>
  <c r="J6" i="1"/>
  <c r="I7" i="1"/>
  <c r="J7" i="1"/>
  <c r="I8" i="1"/>
  <c r="J8" i="1"/>
  <c r="I9" i="1"/>
  <c r="J9" i="1"/>
  <c r="I10" i="1"/>
  <c r="J10" i="1"/>
  <c r="I11" i="1"/>
  <c r="J11" i="1"/>
  <c r="I12" i="1"/>
  <c r="J12" i="1"/>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J49" i="1"/>
  <c r="I50" i="1"/>
  <c r="J50"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I93" i="1"/>
  <c r="J93" i="1"/>
  <c r="I94" i="1"/>
  <c r="J94" i="1"/>
  <c r="I95" i="1"/>
  <c r="J95"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H307" i="1"/>
  <c r="L307" i="1"/>
  <c r="C307" i="1"/>
  <c r="D307" i="1"/>
  <c r="E307" i="1"/>
  <c r="F307" i="1"/>
  <c r="B307" i="1"/>
  <c r="N307" i="1" s="1"/>
  <c r="O307" i="1" s="1"/>
  <c r="Q307" i="1"/>
  <c r="H306" i="1"/>
  <c r="L306" i="1"/>
  <c r="C306" i="1"/>
  <c r="D306" i="1"/>
  <c r="E306" i="1"/>
  <c r="F306" i="1"/>
  <c r="B306" i="1"/>
  <c r="N306" i="1" s="1"/>
  <c r="O306" i="1" s="1"/>
  <c r="Q306" i="1"/>
  <c r="L305" i="1"/>
  <c r="H305" i="1"/>
  <c r="C305" i="1"/>
  <c r="D305" i="1"/>
  <c r="E305" i="1"/>
  <c r="F305" i="1"/>
  <c r="B305" i="1"/>
  <c r="N305" i="1" s="1"/>
  <c r="O305" i="1" s="1"/>
  <c r="Q305" i="1"/>
  <c r="E304" i="1"/>
  <c r="L304" i="1"/>
  <c r="H304" i="1"/>
  <c r="C304" i="1"/>
  <c r="D304" i="1"/>
  <c r="F304" i="1"/>
  <c r="B304" i="1"/>
  <c r="Q304" i="1"/>
  <c r="L303" i="1"/>
  <c r="L296" i="1"/>
  <c r="L297" i="1"/>
  <c r="L298" i="1"/>
  <c r="L299" i="1"/>
  <c r="L300" i="1"/>
  <c r="L301" i="1"/>
  <c r="L302" i="1"/>
  <c r="D296" i="1"/>
  <c r="D294" i="1"/>
  <c r="D295" i="1"/>
  <c r="D297" i="1"/>
  <c r="D298" i="1"/>
  <c r="D299" i="1"/>
  <c r="D300" i="1"/>
  <c r="D301" i="1"/>
  <c r="D302" i="1"/>
  <c r="D303" i="1"/>
  <c r="H303" i="1"/>
  <c r="C303" i="1"/>
  <c r="E303" i="1"/>
  <c r="F303" i="1"/>
  <c r="B303" i="1"/>
  <c r="N303" i="1" s="1"/>
  <c r="O303" i="1" s="1"/>
  <c r="Q303" i="1"/>
  <c r="H302" i="1"/>
  <c r="C301" i="1"/>
  <c r="C302" i="1"/>
  <c r="Q302" i="1"/>
  <c r="F302" i="1"/>
  <c r="E302" i="1"/>
  <c r="B302" i="1"/>
  <c r="H301" i="1"/>
  <c r="E301" i="1"/>
  <c r="F301" i="1"/>
  <c r="B301" i="1"/>
  <c r="N301" i="1" s="1"/>
  <c r="O301" i="1" s="1"/>
  <c r="Q301" i="1"/>
  <c r="H300" i="1"/>
  <c r="C300" i="1"/>
  <c r="E300" i="1"/>
  <c r="F300" i="1"/>
  <c r="B300" i="1"/>
  <c r="N300" i="1" s="1"/>
  <c r="O300" i="1" s="1"/>
  <c r="Q300" i="1"/>
  <c r="H299" i="1"/>
  <c r="C299" i="1"/>
  <c r="E299" i="1"/>
  <c r="F299" i="1"/>
  <c r="B299" i="1"/>
  <c r="N299" i="1" s="1"/>
  <c r="O299" i="1" s="1"/>
  <c r="Q299" i="1"/>
  <c r="N308" i="1" l="1"/>
  <c r="O308" i="1" s="1"/>
  <c r="P308" i="1" s="1"/>
  <c r="N304" i="1"/>
  <c r="O304" i="1" s="1"/>
  <c r="N302" i="1"/>
  <c r="O302" i="1" s="1"/>
  <c r="H298" i="1"/>
  <c r="C298" i="1"/>
  <c r="E298" i="1"/>
  <c r="F298" i="1"/>
  <c r="B298" i="1"/>
  <c r="Q298" i="1"/>
  <c r="H297" i="1"/>
  <c r="C297" i="1"/>
  <c r="E297" i="1"/>
  <c r="F297" i="1"/>
  <c r="B297" i="1"/>
  <c r="Q297"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H296" i="1"/>
  <c r="C296" i="1"/>
  <c r="E296" i="1"/>
  <c r="B296" i="1"/>
  <c r="Q296" i="1"/>
  <c r="H295" i="1"/>
  <c r="C295" i="1"/>
  <c r="E295" i="1"/>
  <c r="B295" i="1"/>
  <c r="Q295" i="1"/>
  <c r="H294" i="1"/>
  <c r="C294" i="1"/>
  <c r="E294" i="1"/>
  <c r="B294" i="1"/>
  <c r="N294" i="1" s="1"/>
  <c r="O294" i="1" s="1"/>
  <c r="Q294" i="1"/>
  <c r="H293" i="1"/>
  <c r="C293" i="1"/>
  <c r="D293" i="1"/>
  <c r="E293" i="1"/>
  <c r="B293" i="1"/>
  <c r="Q293" i="1"/>
  <c r="C292" i="1"/>
  <c r="D292" i="1"/>
  <c r="E292" i="1"/>
  <c r="H292" i="1"/>
  <c r="B292" i="1"/>
  <c r="Q292" i="1"/>
  <c r="B290" i="1"/>
  <c r="C290" i="1"/>
  <c r="B291" i="1"/>
  <c r="C291" i="1"/>
  <c r="H291" i="1"/>
  <c r="D291" i="1"/>
  <c r="E291" i="1"/>
  <c r="Q291" i="1"/>
  <c r="H290" i="1"/>
  <c r="D290" i="1"/>
  <c r="E290" i="1"/>
  <c r="Q290" i="1"/>
  <c r="H289" i="1"/>
  <c r="C289" i="1"/>
  <c r="D289" i="1"/>
  <c r="E289" i="1"/>
  <c r="B289" i="1"/>
  <c r="Q289" i="1"/>
  <c r="H288" i="1"/>
  <c r="C288" i="1"/>
  <c r="D288" i="1"/>
  <c r="E288" i="1"/>
  <c r="B288" i="1"/>
  <c r="Q288" i="1"/>
  <c r="H287" i="1"/>
  <c r="C287" i="1"/>
  <c r="D287" i="1"/>
  <c r="E287" i="1"/>
  <c r="B287" i="1"/>
  <c r="Q287" i="1"/>
  <c r="H286" i="1"/>
  <c r="C286" i="1"/>
  <c r="D286" i="1"/>
  <c r="E286" i="1"/>
  <c r="B286" i="1"/>
  <c r="N286" i="1" s="1"/>
  <c r="O286" i="1" s="1"/>
  <c r="Q286" i="1"/>
  <c r="H284" i="1"/>
  <c r="H285" i="1"/>
  <c r="C285" i="1"/>
  <c r="D285" i="1"/>
  <c r="E285" i="1"/>
  <c r="B285" i="1"/>
  <c r="Q285" i="1"/>
  <c r="C284" i="1"/>
  <c r="D284" i="1"/>
  <c r="E284" i="1"/>
  <c r="B284" i="1"/>
  <c r="Q284" i="1"/>
  <c r="H283" i="1"/>
  <c r="B283" i="1"/>
  <c r="C283" i="1"/>
  <c r="D283" i="1"/>
  <c r="E283" i="1"/>
  <c r="Q283" i="1"/>
  <c r="H282" i="1"/>
  <c r="C282" i="1"/>
  <c r="D282" i="1"/>
  <c r="E282" i="1"/>
  <c r="B282" i="1"/>
  <c r="Q282" i="1"/>
  <c r="H281" i="1"/>
  <c r="C281" i="1"/>
  <c r="D281" i="1"/>
  <c r="E281" i="1"/>
  <c r="B281" i="1"/>
  <c r="Q281" i="1"/>
  <c r="Q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H280" i="1"/>
  <c r="C279" i="1"/>
  <c r="D279" i="1"/>
  <c r="E279" i="1"/>
  <c r="C280" i="1"/>
  <c r="D280" i="1"/>
  <c r="E280" i="1"/>
  <c r="B280" i="1"/>
  <c r="H279" i="1"/>
  <c r="B279" i="1"/>
  <c r="H278" i="1"/>
  <c r="C278" i="1"/>
  <c r="D278" i="1"/>
  <c r="E278" i="1"/>
  <c r="B278" i="1"/>
  <c r="H277" i="1"/>
  <c r="C277" i="1"/>
  <c r="D277" i="1"/>
  <c r="E277" i="1"/>
  <c r="B277" i="1"/>
  <c r="H276" i="1"/>
  <c r="C276" i="1"/>
  <c r="D276" i="1"/>
  <c r="E276" i="1"/>
  <c r="B276" i="1"/>
  <c r="N276" i="1" s="1"/>
  <c r="O276" i="1" s="1"/>
  <c r="H275" i="1"/>
  <c r="C275" i="1"/>
  <c r="D275" i="1"/>
  <c r="E275" i="1"/>
  <c r="B275" i="1"/>
  <c r="H274" i="1"/>
  <c r="C274" i="1"/>
  <c r="D274" i="1"/>
  <c r="E274" i="1"/>
  <c r="B274" i="1"/>
  <c r="H273" i="1"/>
  <c r="C273" i="1"/>
  <c r="D273" i="1"/>
  <c r="E273" i="1"/>
  <c r="B273" i="1"/>
  <c r="M272" i="1"/>
  <c r="H272" i="1"/>
  <c r="C272" i="1"/>
  <c r="D272" i="1"/>
  <c r="E272" i="1"/>
  <c r="B272" i="1"/>
  <c r="H271" i="1"/>
  <c r="C271" i="1"/>
  <c r="D271" i="1"/>
  <c r="E271" i="1"/>
  <c r="B271" i="1"/>
  <c r="H270" i="1"/>
  <c r="C270" i="1"/>
  <c r="D270" i="1"/>
  <c r="E270" i="1"/>
  <c r="B270" i="1"/>
  <c r="H269" i="1"/>
  <c r="C269" i="1"/>
  <c r="D269" i="1"/>
  <c r="E269" i="1"/>
  <c r="B269" i="1"/>
  <c r="M7" i="12"/>
  <c r="M6" i="12"/>
  <c r="M5" i="12"/>
  <c r="H268" i="1"/>
  <c r="C268" i="1"/>
  <c r="D268" i="1"/>
  <c r="E268" i="1"/>
  <c r="B268" i="1"/>
  <c r="N268" i="1" s="1"/>
  <c r="O268" i="1" s="1"/>
  <c r="N283" i="1" l="1"/>
  <c r="O283" i="1" s="1"/>
  <c r="N270" i="1"/>
  <c r="O270" i="1" s="1"/>
  <c r="N273" i="1"/>
  <c r="O273" i="1" s="1"/>
  <c r="N280" i="1"/>
  <c r="O280" i="1" s="1"/>
  <c r="N281" i="1"/>
  <c r="O281" i="1" s="1"/>
  <c r="N289" i="1"/>
  <c r="O289" i="1" s="1"/>
  <c r="N290" i="1"/>
  <c r="O290" i="1" s="1"/>
  <c r="N279" i="1"/>
  <c r="O279" i="1" s="1"/>
  <c r="N284" i="1"/>
  <c r="O284" i="1" s="1"/>
  <c r="N292" i="1"/>
  <c r="O292" i="1" s="1"/>
  <c r="N297" i="1"/>
  <c r="O297" i="1" s="1"/>
  <c r="N287" i="1"/>
  <c r="O287" i="1" s="1"/>
  <c r="N295" i="1"/>
  <c r="O295" i="1" s="1"/>
  <c r="N277" i="1"/>
  <c r="O277" i="1" s="1"/>
  <c r="N271" i="1"/>
  <c r="O271" i="1" s="1"/>
  <c r="N274" i="1"/>
  <c r="O274" i="1" s="1"/>
  <c r="N291" i="1"/>
  <c r="O291" i="1" s="1"/>
  <c r="N282" i="1"/>
  <c r="O282" i="1" s="1"/>
  <c r="N285" i="1"/>
  <c r="O285" i="1" s="1"/>
  <c r="N293" i="1"/>
  <c r="O293" i="1" s="1"/>
  <c r="N296" i="1"/>
  <c r="O296" i="1" s="1"/>
  <c r="N298" i="1"/>
  <c r="O298" i="1" s="1"/>
  <c r="N278" i="1"/>
  <c r="O278" i="1" s="1"/>
  <c r="N275" i="1"/>
  <c r="O275" i="1" s="1"/>
  <c r="N288" i="1"/>
  <c r="O288" i="1" s="1"/>
  <c r="N272" i="1"/>
  <c r="O272" i="1" s="1"/>
  <c r="N269" i="1"/>
  <c r="O269" i="1" s="1"/>
  <c r="N7" i="12"/>
  <c r="N6" i="12"/>
  <c r="M8" i="12"/>
  <c r="C267" i="1"/>
  <c r="D267" i="1"/>
  <c r="E267" i="1"/>
  <c r="H267" i="1"/>
  <c r="B267" i="1"/>
  <c r="N267" i="1" l="1"/>
  <c r="O267" i="1" s="1"/>
  <c r="P303" i="1" s="1"/>
  <c r="P307" i="1"/>
  <c r="P306" i="1"/>
  <c r="P305" i="1"/>
  <c r="P304" i="1"/>
  <c r="N8" i="12"/>
  <c r="H266" i="1"/>
  <c r="C266" i="1"/>
  <c r="D266" i="1"/>
  <c r="E266" i="1"/>
  <c r="B266" i="1"/>
  <c r="N266" i="1" s="1"/>
  <c r="O266" i="1" s="1"/>
  <c r="P302" i="1" l="1"/>
  <c r="O7" i="12"/>
  <c r="P7" i="12" s="1"/>
  <c r="H265" i="1"/>
  <c r="C265" i="1"/>
  <c r="D265" i="1"/>
  <c r="E265" i="1"/>
  <c r="B265" i="1"/>
  <c r="N265" i="1" s="1"/>
  <c r="O265" i="1" s="1"/>
  <c r="P301" i="1" l="1"/>
  <c r="Q7" i="12"/>
  <c r="H264" i="1"/>
  <c r="C264" i="1"/>
  <c r="D264" i="1"/>
  <c r="E264" i="1"/>
  <c r="B264" i="1"/>
  <c r="N264" i="1" l="1"/>
  <c r="O264" i="1" s="1"/>
  <c r="P300" i="1" s="1"/>
  <c r="H263" i="1"/>
  <c r="C263" i="1"/>
  <c r="D263" i="1"/>
  <c r="E263" i="1"/>
  <c r="B263" i="1"/>
  <c r="N263" i="1" l="1"/>
  <c r="O263" i="1" s="1"/>
  <c r="P299" i="1" s="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C4" i="1"/>
  <c r="C5"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D262" i="1"/>
  <c r="E262" i="1"/>
  <c r="H262" i="1" l="1"/>
  <c r="B262" i="1"/>
  <c r="N262" i="1" s="1"/>
  <c r="O262" i="1" s="1"/>
  <c r="P298" i="1" l="1"/>
  <c r="S258" i="1"/>
  <c r="H261" i="1"/>
  <c r="B261" i="1"/>
  <c r="N261" i="1" s="1"/>
  <c r="O261" i="1" s="1"/>
  <c r="P297" i="1" l="1"/>
  <c r="H260" i="1"/>
  <c r="B260" i="1"/>
  <c r="N260" i="1" s="1"/>
  <c r="O260" i="1" s="1"/>
  <c r="P296" i="1" l="1"/>
  <c r="N9" i="12" s="1"/>
  <c r="H259" i="1"/>
  <c r="B259" i="1"/>
  <c r="N259" i="1" l="1"/>
  <c r="O259" i="1" s="1"/>
  <c r="P295" i="1" s="1"/>
  <c r="H258" i="1" l="1"/>
  <c r="B258" i="1"/>
  <c r="N258" i="1" s="1"/>
  <c r="O258" i="1" s="1"/>
  <c r="P294" i="1" l="1"/>
  <c r="H257" i="1" l="1"/>
  <c r="B257" i="1"/>
  <c r="N257" i="1" s="1"/>
  <c r="O257" i="1" s="1"/>
  <c r="P293" i="1" l="1"/>
  <c r="H256" i="1"/>
  <c r="B256" i="1"/>
  <c r="N256" i="1" s="1"/>
  <c r="O256" i="1" s="1"/>
  <c r="P292" i="1" l="1"/>
  <c r="O8" i="12"/>
  <c r="H255" i="1"/>
  <c r="B255" i="1"/>
  <c r="N255" i="1" s="1"/>
  <c r="O255" i="1" s="1"/>
  <c r="P291" i="1" l="1"/>
  <c r="P8" i="12"/>
  <c r="Q8" i="12"/>
  <c r="H254" i="1"/>
  <c r="B254" i="1"/>
  <c r="N254" i="1" s="1"/>
  <c r="O254" i="1" s="1"/>
  <c r="P290" i="1" l="1"/>
  <c r="H253" i="1"/>
  <c r="B253" i="1"/>
  <c r="N253" i="1" l="1"/>
  <c r="O253" i="1" s="1"/>
  <c r="P289" i="1" s="1"/>
  <c r="H252" i="1"/>
  <c r="B252" i="1"/>
  <c r="N252" i="1" s="1"/>
  <c r="O252" i="1" s="1"/>
  <c r="P288" i="1" l="1"/>
  <c r="H251" i="1"/>
  <c r="B251" i="1"/>
  <c r="N251" i="1" s="1"/>
  <c r="O251" i="1" s="1"/>
  <c r="P287" i="1" l="1"/>
  <c r="H250" i="1"/>
  <c r="B250" i="1"/>
  <c r="N250" i="1" s="1"/>
  <c r="O250" i="1" s="1"/>
  <c r="P286" i="1" l="1"/>
  <c r="H249" i="1"/>
  <c r="B249" i="1"/>
  <c r="N249" i="1" s="1"/>
  <c r="O249" i="1" s="1"/>
  <c r="P285" i="1" l="1"/>
  <c r="H248" i="1"/>
  <c r="B248" i="1"/>
  <c r="N248" i="1" s="1"/>
  <c r="O248" i="1" s="1"/>
  <c r="P284" i="1" l="1"/>
  <c r="H247" i="1"/>
  <c r="B247" i="1"/>
  <c r="N247" i="1" s="1"/>
  <c r="O247" i="1" s="1"/>
  <c r="P283" i="1" l="1"/>
  <c r="H246" i="1"/>
  <c r="B246" i="1"/>
  <c r="N246" i="1" s="1"/>
  <c r="O246" i="1" s="1"/>
  <c r="P282" i="1" l="1"/>
  <c r="H245" i="1"/>
  <c r="B245" i="1"/>
  <c r="N245" i="1" s="1"/>
  <c r="O245" i="1" s="1"/>
  <c r="H244" i="1"/>
  <c r="B244" i="1"/>
  <c r="N244" i="1" s="1"/>
  <c r="O244" i="1" s="1"/>
  <c r="H243" i="1"/>
  <c r="B243" i="1"/>
  <c r="N243" i="1" s="1"/>
  <c r="O243" i="1" s="1"/>
  <c r="P279" i="1" l="1"/>
  <c r="P280" i="1"/>
  <c r="P281" i="1"/>
  <c r="H242" i="1"/>
  <c r="B242" i="1"/>
  <c r="N242" i="1" s="1"/>
  <c r="O242" i="1" s="1"/>
  <c r="P278" i="1" l="1"/>
  <c r="H241" i="1"/>
  <c r="B241" i="1"/>
  <c r="N241" i="1" s="1"/>
  <c r="O241" i="1" s="1"/>
  <c r="P277" i="1" l="1"/>
  <c r="H240" i="1"/>
  <c r="H239" i="1"/>
  <c r="B240" i="1"/>
  <c r="N240" i="1" s="1"/>
  <c r="O240" i="1" s="1"/>
  <c r="P276" i="1" l="1"/>
  <c r="B239" i="1"/>
  <c r="N239" i="1" s="1"/>
  <c r="O239" i="1" s="1"/>
  <c r="P275" i="1" s="1"/>
  <c r="B238" i="1" l="1"/>
  <c r="N238" i="1" s="1"/>
  <c r="O238" i="1" s="1"/>
  <c r="P274" i="1" s="1"/>
  <c r="B237" i="1" l="1"/>
  <c r="N237" i="1" s="1"/>
  <c r="O237" i="1" s="1"/>
  <c r="P273" i="1" s="1"/>
  <c r="H236" i="1" l="1"/>
  <c r="H235" i="1"/>
  <c r="B236" i="1"/>
  <c r="N236" i="1" s="1"/>
  <c r="O236" i="1" s="1"/>
  <c r="P272" i="1" l="1"/>
  <c r="B235" i="1"/>
  <c r="N235" i="1" s="1"/>
  <c r="O235" i="1" s="1"/>
  <c r="P271" i="1" s="1"/>
  <c r="H234" i="1" l="1"/>
  <c r="B234" i="1"/>
  <c r="N234" i="1" s="1"/>
  <c r="O234" i="1" s="1"/>
  <c r="P270" i="1" l="1"/>
  <c r="H233" i="1"/>
  <c r="B233" i="1"/>
  <c r="N233" i="1" s="1"/>
  <c r="O233" i="1" s="1"/>
  <c r="P269" i="1" l="1"/>
  <c r="H232" i="1"/>
  <c r="B232" i="1" l="1"/>
  <c r="N232" i="1" s="1"/>
  <c r="O232" i="1" s="1"/>
  <c r="P268" i="1" s="1"/>
  <c r="O9" i="12" s="1"/>
  <c r="Q9" i="12" l="1"/>
  <c r="P9" i="12"/>
  <c r="M12" i="12" s="1"/>
  <c r="H231" i="1"/>
  <c r="B231" i="1"/>
  <c r="N231" i="1" s="1"/>
  <c r="O231" i="1" s="1"/>
  <c r="P267" i="1" l="1"/>
  <c r="H230" i="1"/>
  <c r="B230" i="1" l="1"/>
  <c r="N230" i="1" s="1"/>
  <c r="O230" i="1" s="1"/>
  <c r="P266" i="1" s="1"/>
  <c r="H229" i="1" l="1"/>
  <c r="B229" i="1"/>
  <c r="N229" i="1" s="1"/>
  <c r="O229" i="1" s="1"/>
  <c r="P265" i="1" l="1"/>
  <c r="H228" i="1"/>
  <c r="B228" i="1"/>
  <c r="N228" i="1" s="1"/>
  <c r="O228" i="1" s="1"/>
  <c r="P264" i="1" l="1"/>
  <c r="H227" i="1"/>
  <c r="B227" i="1"/>
  <c r="N227" i="1" s="1"/>
  <c r="O227" i="1" s="1"/>
  <c r="P263" i="1" l="1"/>
  <c r="H226" i="1"/>
  <c r="B226" i="1"/>
  <c r="N226" i="1" l="1"/>
  <c r="O226" i="1" s="1"/>
  <c r="P262" i="1" s="1"/>
  <c r="B225" i="1"/>
  <c r="N225" i="1" s="1"/>
  <c r="O225" i="1" s="1"/>
  <c r="P261" i="1" s="1"/>
  <c r="H224" i="1" l="1"/>
  <c r="B224" i="1"/>
  <c r="N224" i="1" s="1"/>
  <c r="O224" i="1" s="1"/>
  <c r="P260" i="1" l="1"/>
  <c r="H223" i="1"/>
  <c r="B223" i="1" l="1"/>
  <c r="N223" i="1" s="1"/>
  <c r="O223" i="1" s="1"/>
  <c r="P259" i="1" s="1"/>
  <c r="H222" i="1" l="1"/>
  <c r="B222" i="1"/>
  <c r="N222" i="1" s="1"/>
  <c r="O222" i="1" s="1"/>
  <c r="P258" i="1" l="1"/>
  <c r="H221" i="1"/>
  <c r="B221" i="1"/>
  <c r="N221" i="1" s="1"/>
  <c r="O221" i="1" s="1"/>
  <c r="P257" i="1" l="1"/>
  <c r="H220" i="1"/>
  <c r="B220" i="1"/>
  <c r="N220" i="1" s="1"/>
  <c r="O220" i="1" s="1"/>
  <c r="P256" i="1" l="1"/>
  <c r="B219" i="1"/>
  <c r="N219" i="1" l="1"/>
  <c r="O219" i="1" s="1"/>
  <c r="H219" i="1"/>
  <c r="H218" i="1"/>
  <c r="B218" i="1"/>
  <c r="N218" i="1" s="1"/>
  <c r="O218" i="1" s="1"/>
  <c r="P254" i="1" l="1"/>
  <c r="P255" i="1"/>
  <c r="H217" i="1"/>
  <c r="H216" i="1"/>
  <c r="B217" i="1"/>
  <c r="N217" i="1" s="1"/>
  <c r="O217" i="1" s="1"/>
  <c r="P253" i="1" l="1"/>
  <c r="B216" i="1"/>
  <c r="N216" i="1" s="1"/>
  <c r="O216" i="1" s="1"/>
  <c r="P252" i="1" s="1"/>
  <c r="H215" i="1" l="1"/>
  <c r="B215" i="1"/>
  <c r="N215" i="1" s="1"/>
  <c r="O215" i="1" s="1"/>
  <c r="P251" i="1" l="1"/>
  <c r="H214" i="1"/>
  <c r="H213" i="1"/>
  <c r="B214" i="1"/>
  <c r="N214" i="1" s="1"/>
  <c r="O214" i="1" s="1"/>
  <c r="P250" i="1" l="1"/>
  <c r="X220" i="1"/>
  <c r="AB198" i="1"/>
  <c r="AB199" i="1"/>
  <c r="AB200" i="1"/>
  <c r="AB201" i="1"/>
  <c r="AB202" i="1"/>
  <c r="AB203" i="1"/>
  <c r="AB204" i="1"/>
  <c r="AB205" i="1"/>
  <c r="AB206" i="1"/>
  <c r="AB207" i="1"/>
  <c r="AB208" i="1"/>
  <c r="AB209" i="1"/>
  <c r="AB210" i="1"/>
  <c r="AB211" i="1"/>
  <c r="AB212" i="1"/>
  <c r="AB213" i="1"/>
  <c r="AB214" i="1"/>
  <c r="AB215" i="1"/>
  <c r="AB216" i="1"/>
  <c r="AB217" i="1"/>
  <c r="AB218" i="1"/>
  <c r="AB219" i="1"/>
  <c r="Z220" i="1" s="1"/>
  <c r="AB197"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196" i="1"/>
  <c r="B213" i="1"/>
  <c r="N213" i="1" s="1"/>
  <c r="O213" i="1" s="1"/>
  <c r="P249" i="1" s="1"/>
  <c r="Y220" i="1" l="1"/>
  <c r="AA220" i="1" s="1"/>
  <c r="AB220" i="1"/>
  <c r="Z221" i="1" s="1"/>
  <c r="H212" i="1"/>
  <c r="B212" i="1"/>
  <c r="N212" i="1" s="1"/>
  <c r="O212" i="1" s="1"/>
  <c r="P248" i="1" l="1"/>
  <c r="X221" i="1"/>
  <c r="AB221" i="1"/>
  <c r="Z222" i="1" s="1"/>
  <c r="H210" i="1"/>
  <c r="H211" i="1"/>
  <c r="B211" i="1"/>
  <c r="N211" i="1" s="1"/>
  <c r="O211" i="1" s="1"/>
  <c r="P247" i="1" l="1"/>
  <c r="Y221" i="1"/>
  <c r="AB222" i="1"/>
  <c r="Z223" i="1" s="1"/>
  <c r="AB223" i="1" s="1"/>
  <c r="Z224" i="1" s="1"/>
  <c r="AB224" i="1" s="1"/>
  <c r="Z225" i="1" s="1"/>
  <c r="AB225" i="1" s="1"/>
  <c r="Z226" i="1" s="1"/>
  <c r="B210" i="1"/>
  <c r="N210" i="1" s="1"/>
  <c r="O210" i="1" s="1"/>
  <c r="P246" i="1" s="1"/>
  <c r="AA221" i="1" l="1"/>
  <c r="X222" i="1"/>
  <c r="AB226" i="1"/>
  <c r="Z227" i="1" s="1"/>
  <c r="AB227" i="1" s="1"/>
  <c r="Z228" i="1" s="1"/>
  <c r="AB228" i="1" s="1"/>
  <c r="Z229" i="1" s="1"/>
  <c r="AB229" i="1" s="1"/>
  <c r="Z230" i="1" s="1"/>
  <c r="H209" i="1"/>
  <c r="H208" i="1"/>
  <c r="B209" i="1"/>
  <c r="N209" i="1" s="1"/>
  <c r="O209" i="1" s="1"/>
  <c r="P245" i="1" l="1"/>
  <c r="Y222" i="1"/>
  <c r="AB230" i="1"/>
  <c r="Z231" i="1" s="1"/>
  <c r="AB231" i="1" s="1"/>
  <c r="Z232" i="1" s="1"/>
  <c r="H207" i="1"/>
  <c r="B208" i="1"/>
  <c r="N208" i="1" s="1"/>
  <c r="O208" i="1" s="1"/>
  <c r="P244" i="1" s="1"/>
  <c r="X223" i="1" l="1"/>
  <c r="AA222" i="1"/>
  <c r="AB232" i="1"/>
  <c r="Z233" i="1" s="1"/>
  <c r="B207" i="1"/>
  <c r="N207" i="1" s="1"/>
  <c r="O207" i="1" s="1"/>
  <c r="P243" i="1" s="1"/>
  <c r="Y223" i="1" l="1"/>
  <c r="AB233" i="1"/>
  <c r="Z234" i="1" s="1"/>
  <c r="H206" i="1"/>
  <c r="AB234" i="1" l="1"/>
  <c r="Z235" i="1" s="1"/>
  <c r="AB235" i="1" s="1"/>
  <c r="Z236" i="1" s="1"/>
  <c r="AA223" i="1"/>
  <c r="X224" i="1"/>
  <c r="B206" i="1"/>
  <c r="N206" i="1" s="1"/>
  <c r="O206" i="1" s="1"/>
  <c r="P242" i="1" s="1"/>
  <c r="AB236" i="1" l="1"/>
  <c r="Z237" i="1" s="1"/>
  <c r="Y224" i="1"/>
  <c r="H205" i="1"/>
  <c r="AB237" i="1" l="1"/>
  <c r="Z238" i="1" s="1"/>
  <c r="AA224" i="1"/>
  <c r="X225" i="1"/>
  <c r="B205" i="1"/>
  <c r="N205" i="1" s="1"/>
  <c r="O205" i="1" s="1"/>
  <c r="P241" i="1" s="1"/>
  <c r="AB238" i="1" l="1"/>
  <c r="Z239" i="1" s="1"/>
  <c r="AB239" i="1" s="1"/>
  <c r="Z240" i="1" s="1"/>
  <c r="Y225" i="1"/>
  <c r="H204" i="1"/>
  <c r="B204" i="1"/>
  <c r="N204" i="1" s="1"/>
  <c r="O204" i="1" s="1"/>
  <c r="P240" i="1" l="1"/>
  <c r="AB240" i="1"/>
  <c r="Z241" i="1" s="1"/>
  <c r="AA225" i="1"/>
  <c r="X226" i="1"/>
  <c r="H203" i="1"/>
  <c r="B203" i="1"/>
  <c r="N203" i="1" s="1"/>
  <c r="O203" i="1" s="1"/>
  <c r="P239" i="1" l="1"/>
  <c r="AB241" i="1"/>
  <c r="Z242" i="1" s="1"/>
  <c r="Y226" i="1"/>
  <c r="H202" i="1"/>
  <c r="B202" i="1"/>
  <c r="N202" i="1" s="1"/>
  <c r="O202" i="1" s="1"/>
  <c r="P238" i="1" l="1"/>
  <c r="AB242" i="1"/>
  <c r="Z243" i="1" s="1"/>
  <c r="AB243" i="1" s="1"/>
  <c r="Z244" i="1" s="1"/>
  <c r="AA226" i="1"/>
  <c r="X227" i="1"/>
  <c r="H201" i="1"/>
  <c r="B201" i="1"/>
  <c r="N201" i="1" s="1"/>
  <c r="O201" i="1" s="1"/>
  <c r="P237" i="1" l="1"/>
  <c r="AB244" i="1"/>
  <c r="Z245" i="1" s="1"/>
  <c r="Y227" i="1"/>
  <c r="X228" i="1" s="1"/>
  <c r="H200" i="1"/>
  <c r="H199" i="1"/>
  <c r="B200" i="1"/>
  <c r="N200" i="1" s="1"/>
  <c r="O200" i="1" s="1"/>
  <c r="P236" i="1" l="1"/>
  <c r="AB245" i="1"/>
  <c r="Z246" i="1" s="1"/>
  <c r="AB246" i="1" s="1"/>
  <c r="Z247" i="1" s="1"/>
  <c r="AB247" i="1" s="1"/>
  <c r="Z248" i="1" s="1"/>
  <c r="AB248" i="1" s="1"/>
  <c r="Z249" i="1" s="1"/>
  <c r="AB249" i="1" s="1"/>
  <c r="Z250" i="1" s="1"/>
  <c r="AA227" i="1"/>
  <c r="Y228" i="1" s="1"/>
  <c r="B199" i="1"/>
  <c r="N199" i="1" s="1"/>
  <c r="O199" i="1" s="1"/>
  <c r="P235" i="1" s="1"/>
  <c r="AB250" i="1" l="1"/>
  <c r="Z251" i="1" s="1"/>
  <c r="AA228" i="1"/>
  <c r="X229" i="1"/>
  <c r="H198" i="1"/>
  <c r="B198" i="1"/>
  <c r="N198" i="1" s="1"/>
  <c r="O198" i="1" s="1"/>
  <c r="P234" i="1" l="1"/>
  <c r="AB251" i="1"/>
  <c r="Z252" i="1" s="1"/>
  <c r="AB252" i="1" s="1"/>
  <c r="Z253" i="1" s="1"/>
  <c r="Y229" i="1"/>
  <c r="AA229" i="1" s="1"/>
  <c r="H197" i="1"/>
  <c r="B197" i="1"/>
  <c r="N197" i="1" s="1"/>
  <c r="O197" i="1" s="1"/>
  <c r="AB253" i="1" l="1"/>
  <c r="Z254" i="1" s="1"/>
  <c r="AB254" i="1" s="1"/>
  <c r="Z255" i="1" s="1"/>
  <c r="P233" i="1"/>
  <c r="X230" i="1"/>
  <c r="Y230" i="1" s="1"/>
  <c r="X231" i="1" s="1"/>
  <c r="H196" i="1"/>
  <c r="H195" i="1"/>
  <c r="B196" i="1"/>
  <c r="N196" i="1" s="1"/>
  <c r="O196" i="1" s="1"/>
  <c r="AB255" i="1" l="1"/>
  <c r="Z256" i="1" s="1"/>
  <c r="P232" i="1"/>
  <c r="AA230" i="1"/>
  <c r="Y231" i="1" s="1"/>
  <c r="AA231" i="1" s="1"/>
  <c r="B195" i="1"/>
  <c r="N195" i="1" s="1"/>
  <c r="O195" i="1" s="1"/>
  <c r="P231" i="1" s="1"/>
  <c r="AB256" i="1" l="1"/>
  <c r="Z257" i="1" s="1"/>
  <c r="X232" i="1"/>
  <c r="Y232" i="1" s="1"/>
  <c r="X233" i="1" s="1"/>
  <c r="H194" i="1"/>
  <c r="B194" i="1"/>
  <c r="N194" i="1" s="1"/>
  <c r="O194" i="1" s="1"/>
  <c r="AB257" i="1" l="1"/>
  <c r="Z258" i="1" s="1"/>
  <c r="AB258" i="1" s="1"/>
  <c r="Z259" i="1" s="1"/>
  <c r="P230" i="1"/>
  <c r="AA232" i="1"/>
  <c r="Y233" i="1" s="1"/>
  <c r="H193" i="1"/>
  <c r="B193" i="1"/>
  <c r="N193" i="1" s="1"/>
  <c r="O193" i="1" s="1"/>
  <c r="AB259" i="1" l="1"/>
  <c r="Z260" i="1"/>
  <c r="AB260" i="1" s="1"/>
  <c r="Z261" i="1" s="1"/>
  <c r="P229" i="1"/>
  <c r="AA233" i="1"/>
  <c r="X234" i="1"/>
  <c r="H192" i="1"/>
  <c r="B192" i="1"/>
  <c r="N192" i="1" s="1"/>
  <c r="O192" i="1" s="1"/>
  <c r="AB261" i="1" l="1"/>
  <c r="Z262" i="1" s="1"/>
  <c r="P228" i="1"/>
  <c r="Y234" i="1"/>
  <c r="X235" i="1" s="1"/>
  <c r="H191" i="1"/>
  <c r="B191" i="1"/>
  <c r="N191" i="1" s="1"/>
  <c r="O191" i="1" s="1"/>
  <c r="AB262" i="1" l="1"/>
  <c r="Z263" i="1" s="1"/>
  <c r="P227" i="1"/>
  <c r="AA234" i="1"/>
  <c r="Y235" i="1" s="1"/>
  <c r="H190" i="1"/>
  <c r="H189" i="1"/>
  <c r="B190" i="1"/>
  <c r="N190" i="1" s="1"/>
  <c r="O190" i="1" s="1"/>
  <c r="AB263" i="1" l="1"/>
  <c r="Z264" i="1"/>
  <c r="P226" i="1"/>
  <c r="AA235" i="1"/>
  <c r="X236" i="1"/>
  <c r="B189" i="1"/>
  <c r="N189" i="1" s="1"/>
  <c r="O189" i="1" s="1"/>
  <c r="P225" i="1" s="1"/>
  <c r="AB264" i="1" l="1"/>
  <c r="Z265" i="1"/>
  <c r="Y236" i="1"/>
  <c r="H188" i="1"/>
  <c r="H187" i="1"/>
  <c r="B188" i="1"/>
  <c r="N188" i="1" s="1"/>
  <c r="O188" i="1" s="1"/>
  <c r="AB265" i="1" l="1"/>
  <c r="Z266" i="1"/>
  <c r="P224" i="1"/>
  <c r="AA236" i="1"/>
  <c r="X237" i="1"/>
  <c r="H186" i="1"/>
  <c r="B187" i="1"/>
  <c r="N187" i="1" s="1"/>
  <c r="O187" i="1" s="1"/>
  <c r="P223" i="1" s="1"/>
  <c r="B186" i="1"/>
  <c r="N186" i="1" s="1"/>
  <c r="O186" i="1" s="1"/>
  <c r="AB266" i="1" l="1"/>
  <c r="Z267" i="1"/>
  <c r="AB267" i="1" s="1"/>
  <c r="Z268" i="1" s="1"/>
  <c r="AB268" i="1" s="1"/>
  <c r="Z269" i="1" s="1"/>
  <c r="AB269" i="1" s="1"/>
  <c r="Z270" i="1" s="1"/>
  <c r="AB270" i="1" s="1"/>
  <c r="Z271" i="1" s="1"/>
  <c r="P222" i="1"/>
  <c r="Y237" i="1"/>
  <c r="H185" i="1"/>
  <c r="B185" i="1"/>
  <c r="N185" i="1" s="1"/>
  <c r="O185" i="1" s="1"/>
  <c r="AB271" i="1" l="1"/>
  <c r="Z272" i="1" s="1"/>
  <c r="AB272" i="1" s="1"/>
  <c r="Z273" i="1" s="1"/>
  <c r="P221" i="1"/>
  <c r="AA237" i="1"/>
  <c r="X238" i="1"/>
  <c r="H184" i="1"/>
  <c r="B184" i="1"/>
  <c r="N184" i="1" s="1"/>
  <c r="O184" i="1" s="1"/>
  <c r="AB273" i="1" l="1"/>
  <c r="Z274" i="1" s="1"/>
  <c r="AB274" i="1" s="1"/>
  <c r="P220" i="1"/>
  <c r="Y238" i="1"/>
  <c r="H183" i="1"/>
  <c r="B183" i="1"/>
  <c r="N183" i="1" s="1"/>
  <c r="O183" i="1" s="1"/>
  <c r="P219" i="1" l="1"/>
  <c r="AA238" i="1"/>
  <c r="X239" i="1"/>
  <c r="H182" i="1"/>
  <c r="B182" i="1"/>
  <c r="N182" i="1" s="1"/>
  <c r="O182" i="1" s="1"/>
  <c r="P218" i="1" l="1"/>
  <c r="Y239" i="1"/>
  <c r="H181" i="1"/>
  <c r="B181" i="1"/>
  <c r="N181" i="1" s="1"/>
  <c r="O181" i="1" s="1"/>
  <c r="P217" i="1" l="1"/>
  <c r="AA239" i="1"/>
  <c r="X240" i="1"/>
  <c r="B2" i="1"/>
  <c r="N2" i="1" s="1"/>
  <c r="O2" i="1" s="1"/>
  <c r="B3" i="1"/>
  <c r="N3" i="1" s="1"/>
  <c r="O3" i="1" s="1"/>
  <c r="B4" i="1"/>
  <c r="N4" i="1" s="1"/>
  <c r="O4" i="1" s="1"/>
  <c r="B5" i="1"/>
  <c r="N5" i="1" s="1"/>
  <c r="O5" i="1" s="1"/>
  <c r="B6" i="1"/>
  <c r="N6" i="1" s="1"/>
  <c r="O6" i="1" s="1"/>
  <c r="B7" i="1"/>
  <c r="N7" i="1" s="1"/>
  <c r="O7" i="1" s="1"/>
  <c r="B8" i="1"/>
  <c r="N8" i="1" s="1"/>
  <c r="O8" i="1" s="1"/>
  <c r="B9" i="1"/>
  <c r="N9" i="1" s="1"/>
  <c r="O9" i="1" s="1"/>
  <c r="B10" i="1"/>
  <c r="N10" i="1" s="1"/>
  <c r="O10" i="1" s="1"/>
  <c r="B11" i="1"/>
  <c r="N11" i="1" s="1"/>
  <c r="O11" i="1" s="1"/>
  <c r="B12" i="1"/>
  <c r="N12" i="1" s="1"/>
  <c r="O12" i="1" s="1"/>
  <c r="B13" i="1"/>
  <c r="N13" i="1" s="1"/>
  <c r="O13" i="1" s="1"/>
  <c r="P13" i="1" s="1"/>
  <c r="B14" i="1"/>
  <c r="N14" i="1" s="1"/>
  <c r="O14" i="1" s="1"/>
  <c r="P14" i="1" s="1"/>
  <c r="B15" i="1"/>
  <c r="N15" i="1" s="1"/>
  <c r="O15" i="1" s="1"/>
  <c r="B16" i="1"/>
  <c r="N16" i="1" s="1"/>
  <c r="O16" i="1" s="1"/>
  <c r="B17" i="1"/>
  <c r="N17" i="1" s="1"/>
  <c r="O17" i="1" s="1"/>
  <c r="B18" i="1"/>
  <c r="N18" i="1" s="1"/>
  <c r="O18" i="1" s="1"/>
  <c r="B19" i="1"/>
  <c r="N19" i="1" s="1"/>
  <c r="O19" i="1" s="1"/>
  <c r="B20" i="1"/>
  <c r="N20" i="1" s="1"/>
  <c r="O20" i="1" s="1"/>
  <c r="B21" i="1"/>
  <c r="N21" i="1" s="1"/>
  <c r="O21" i="1" s="1"/>
  <c r="B22" i="1"/>
  <c r="N22" i="1" s="1"/>
  <c r="O22" i="1" s="1"/>
  <c r="B23" i="1"/>
  <c r="N23" i="1" s="1"/>
  <c r="O23" i="1" s="1"/>
  <c r="B24" i="1"/>
  <c r="N24" i="1" s="1"/>
  <c r="O24" i="1" s="1"/>
  <c r="B25" i="1"/>
  <c r="N25" i="1" s="1"/>
  <c r="O25" i="1" s="1"/>
  <c r="B26" i="1"/>
  <c r="N26" i="1" s="1"/>
  <c r="O26" i="1" s="1"/>
  <c r="B27" i="1"/>
  <c r="N27" i="1" s="1"/>
  <c r="O27" i="1" s="1"/>
  <c r="B28" i="1"/>
  <c r="N28" i="1" s="1"/>
  <c r="O28" i="1" s="1"/>
  <c r="B29" i="1"/>
  <c r="N29" i="1" s="1"/>
  <c r="O29" i="1" s="1"/>
  <c r="P29" i="1" s="1"/>
  <c r="B30" i="1"/>
  <c r="N30" i="1" s="1"/>
  <c r="O30" i="1" s="1"/>
  <c r="P30" i="1" s="1"/>
  <c r="B31" i="1"/>
  <c r="N31" i="1" s="1"/>
  <c r="O31" i="1" s="1"/>
  <c r="B32" i="1"/>
  <c r="N32" i="1" s="1"/>
  <c r="O32" i="1" s="1"/>
  <c r="B33" i="1"/>
  <c r="N33" i="1" s="1"/>
  <c r="O33" i="1" s="1"/>
  <c r="B34" i="1"/>
  <c r="N34" i="1" s="1"/>
  <c r="O34" i="1" s="1"/>
  <c r="B35" i="1"/>
  <c r="N35" i="1" s="1"/>
  <c r="O35" i="1" s="1"/>
  <c r="B36" i="1"/>
  <c r="N36" i="1" s="1"/>
  <c r="O36" i="1" s="1"/>
  <c r="P36" i="1" s="1"/>
  <c r="B37" i="1"/>
  <c r="N37" i="1" s="1"/>
  <c r="O37" i="1" s="1"/>
  <c r="B38" i="1"/>
  <c r="N38" i="1" s="1"/>
  <c r="O38" i="1" s="1"/>
  <c r="B39" i="1"/>
  <c r="N39" i="1" s="1"/>
  <c r="O39" i="1" s="1"/>
  <c r="P39" i="1" s="1"/>
  <c r="B40" i="1"/>
  <c r="N40" i="1" s="1"/>
  <c r="O40" i="1" s="1"/>
  <c r="P40" i="1" s="1"/>
  <c r="B41" i="1"/>
  <c r="N41" i="1" s="1"/>
  <c r="O41" i="1" s="1"/>
  <c r="B42" i="1"/>
  <c r="N42" i="1" s="1"/>
  <c r="O42" i="1" s="1"/>
  <c r="B43" i="1"/>
  <c r="N43" i="1" s="1"/>
  <c r="O43" i="1" s="1"/>
  <c r="P43" i="1" s="1"/>
  <c r="B44" i="1"/>
  <c r="N44" i="1" s="1"/>
  <c r="O44" i="1" s="1"/>
  <c r="P44" i="1" s="1"/>
  <c r="B45" i="1"/>
  <c r="N45" i="1" s="1"/>
  <c r="O45" i="1" s="1"/>
  <c r="P45" i="1" s="1"/>
  <c r="B46" i="1"/>
  <c r="N46" i="1" s="1"/>
  <c r="O46" i="1" s="1"/>
  <c r="P46" i="1" s="1"/>
  <c r="B47" i="1"/>
  <c r="N47" i="1" s="1"/>
  <c r="O47" i="1" s="1"/>
  <c r="B48" i="1"/>
  <c r="N48" i="1" s="1"/>
  <c r="O48" i="1" s="1"/>
  <c r="B49" i="1"/>
  <c r="N49" i="1" s="1"/>
  <c r="O49" i="1" s="1"/>
  <c r="B50" i="1"/>
  <c r="N50" i="1" s="1"/>
  <c r="O50" i="1" s="1"/>
  <c r="B51" i="1"/>
  <c r="N51" i="1" s="1"/>
  <c r="O51" i="1" s="1"/>
  <c r="P51" i="1" s="1"/>
  <c r="B52" i="1"/>
  <c r="N52" i="1" s="1"/>
  <c r="O52" i="1" s="1"/>
  <c r="P52" i="1" s="1"/>
  <c r="B53" i="1"/>
  <c r="N53" i="1" s="1"/>
  <c r="O53" i="1" s="1"/>
  <c r="B54" i="1"/>
  <c r="N54" i="1" s="1"/>
  <c r="O54" i="1" s="1"/>
  <c r="B55" i="1"/>
  <c r="N55" i="1" s="1"/>
  <c r="O55" i="1" s="1"/>
  <c r="P55" i="1" s="1"/>
  <c r="B56" i="1"/>
  <c r="N56" i="1" s="1"/>
  <c r="O56" i="1" s="1"/>
  <c r="P56" i="1" s="1"/>
  <c r="B57" i="1"/>
  <c r="N57" i="1" s="1"/>
  <c r="O57" i="1" s="1"/>
  <c r="B58" i="1"/>
  <c r="N58" i="1" s="1"/>
  <c r="O58" i="1" s="1"/>
  <c r="B59" i="1"/>
  <c r="N59" i="1" s="1"/>
  <c r="O59" i="1" s="1"/>
  <c r="P59" i="1" s="1"/>
  <c r="B60" i="1"/>
  <c r="N60" i="1" s="1"/>
  <c r="O60" i="1" s="1"/>
  <c r="P60" i="1" s="1"/>
  <c r="B61" i="1"/>
  <c r="N61" i="1" s="1"/>
  <c r="O61" i="1" s="1"/>
  <c r="P61" i="1" s="1"/>
  <c r="B62" i="1"/>
  <c r="N62" i="1" s="1"/>
  <c r="O62" i="1" s="1"/>
  <c r="P62" i="1" s="1"/>
  <c r="B63" i="1"/>
  <c r="N63" i="1" s="1"/>
  <c r="O63" i="1" s="1"/>
  <c r="B64" i="1"/>
  <c r="N64" i="1" s="1"/>
  <c r="O64" i="1" s="1"/>
  <c r="B65" i="1"/>
  <c r="N65" i="1" s="1"/>
  <c r="O65" i="1" s="1"/>
  <c r="B66" i="1"/>
  <c r="N66" i="1" s="1"/>
  <c r="O66" i="1" s="1"/>
  <c r="B67" i="1"/>
  <c r="N67" i="1" s="1"/>
  <c r="O67" i="1" s="1"/>
  <c r="P67" i="1" s="1"/>
  <c r="B68" i="1"/>
  <c r="N68" i="1" s="1"/>
  <c r="O68" i="1" s="1"/>
  <c r="P68" i="1" s="1"/>
  <c r="B69" i="1"/>
  <c r="N69" i="1" s="1"/>
  <c r="O69" i="1" s="1"/>
  <c r="B70" i="1"/>
  <c r="N70" i="1" s="1"/>
  <c r="O70" i="1" s="1"/>
  <c r="B71" i="1"/>
  <c r="N71" i="1" s="1"/>
  <c r="O71" i="1" s="1"/>
  <c r="P71" i="1" s="1"/>
  <c r="B72" i="1"/>
  <c r="N72" i="1" s="1"/>
  <c r="O72" i="1" s="1"/>
  <c r="P72" i="1" s="1"/>
  <c r="B73" i="1"/>
  <c r="N73" i="1" s="1"/>
  <c r="O73" i="1" s="1"/>
  <c r="B74" i="1"/>
  <c r="N74" i="1" s="1"/>
  <c r="O74" i="1" s="1"/>
  <c r="B75" i="1"/>
  <c r="N75" i="1" s="1"/>
  <c r="O75" i="1" s="1"/>
  <c r="P75" i="1" s="1"/>
  <c r="B76" i="1"/>
  <c r="N76" i="1" s="1"/>
  <c r="O76" i="1" s="1"/>
  <c r="P76" i="1" s="1"/>
  <c r="B77" i="1"/>
  <c r="N77" i="1" s="1"/>
  <c r="O77" i="1" s="1"/>
  <c r="P77" i="1" s="1"/>
  <c r="B78" i="1"/>
  <c r="N78" i="1" s="1"/>
  <c r="O78" i="1" s="1"/>
  <c r="P78" i="1" s="1"/>
  <c r="B79" i="1"/>
  <c r="N79" i="1" s="1"/>
  <c r="O79" i="1" s="1"/>
  <c r="B80" i="1"/>
  <c r="N80" i="1" s="1"/>
  <c r="O80" i="1" s="1"/>
  <c r="B81" i="1"/>
  <c r="N81" i="1" s="1"/>
  <c r="O81" i="1" s="1"/>
  <c r="B82" i="1"/>
  <c r="N82" i="1" s="1"/>
  <c r="O82" i="1" s="1"/>
  <c r="B83" i="1"/>
  <c r="N83" i="1" s="1"/>
  <c r="O83" i="1" s="1"/>
  <c r="P83" i="1" s="1"/>
  <c r="B84" i="1"/>
  <c r="N84" i="1" s="1"/>
  <c r="O84" i="1" s="1"/>
  <c r="P84" i="1" s="1"/>
  <c r="B85" i="1"/>
  <c r="N85" i="1" s="1"/>
  <c r="O85" i="1" s="1"/>
  <c r="B86" i="1"/>
  <c r="N86" i="1" s="1"/>
  <c r="O86" i="1" s="1"/>
  <c r="B87" i="1"/>
  <c r="N87" i="1" s="1"/>
  <c r="O87" i="1" s="1"/>
  <c r="P87" i="1" s="1"/>
  <c r="B88" i="1"/>
  <c r="N88" i="1" s="1"/>
  <c r="O88" i="1" s="1"/>
  <c r="P88" i="1" s="1"/>
  <c r="B89" i="1"/>
  <c r="N89" i="1" s="1"/>
  <c r="O89" i="1" s="1"/>
  <c r="B90" i="1"/>
  <c r="N90" i="1" s="1"/>
  <c r="O90" i="1" s="1"/>
  <c r="B91" i="1"/>
  <c r="N91" i="1" s="1"/>
  <c r="O91" i="1" s="1"/>
  <c r="P91" i="1" s="1"/>
  <c r="B92" i="1"/>
  <c r="N92" i="1" s="1"/>
  <c r="O92" i="1" s="1"/>
  <c r="P92" i="1" s="1"/>
  <c r="B93" i="1"/>
  <c r="N93" i="1" s="1"/>
  <c r="O93" i="1" s="1"/>
  <c r="P93" i="1" s="1"/>
  <c r="B94" i="1"/>
  <c r="N94" i="1" s="1"/>
  <c r="O94" i="1" s="1"/>
  <c r="P94" i="1" s="1"/>
  <c r="B95" i="1"/>
  <c r="N95" i="1" s="1"/>
  <c r="O95" i="1" s="1"/>
  <c r="B96" i="1"/>
  <c r="N96" i="1" s="1"/>
  <c r="O96" i="1" s="1"/>
  <c r="B97" i="1"/>
  <c r="N97" i="1" s="1"/>
  <c r="O97" i="1" s="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P2" i="1"/>
  <c r="P3" i="1"/>
  <c r="P4" i="1"/>
  <c r="P5" i="1"/>
  <c r="P6" i="1"/>
  <c r="P7" i="1"/>
  <c r="P8" i="1"/>
  <c r="P9" i="1"/>
  <c r="P10" i="1"/>
  <c r="P11" i="1"/>
  <c r="P12" i="1"/>
  <c r="P15" i="1"/>
  <c r="P16" i="1"/>
  <c r="P17" i="1"/>
  <c r="P18" i="1"/>
  <c r="P19" i="1"/>
  <c r="P20" i="1"/>
  <c r="P21" i="1"/>
  <c r="P22" i="1"/>
  <c r="P23" i="1"/>
  <c r="P24" i="1"/>
  <c r="P25" i="1"/>
  <c r="P26" i="1"/>
  <c r="P27" i="1"/>
  <c r="P28" i="1"/>
  <c r="P32" i="1"/>
  <c r="P35" i="1"/>
  <c r="P89" i="1" l="1"/>
  <c r="P73" i="1"/>
  <c r="P57" i="1"/>
  <c r="P41" i="1"/>
  <c r="P85" i="1"/>
  <c r="P69" i="1"/>
  <c r="P53" i="1"/>
  <c r="P90" i="1"/>
  <c r="P74" i="1"/>
  <c r="P58" i="1"/>
  <c r="P42" i="1"/>
  <c r="P86" i="1"/>
  <c r="P70" i="1"/>
  <c r="P54" i="1"/>
  <c r="P38" i="1"/>
  <c r="P82" i="1"/>
  <c r="P66" i="1"/>
  <c r="P50" i="1"/>
  <c r="P97" i="1"/>
  <c r="P81" i="1"/>
  <c r="P65" i="1"/>
  <c r="P49" i="1"/>
  <c r="P96" i="1"/>
  <c r="P80" i="1"/>
  <c r="P64" i="1"/>
  <c r="P48" i="1"/>
  <c r="P95" i="1"/>
  <c r="P79" i="1"/>
  <c r="P63" i="1"/>
  <c r="P47" i="1"/>
  <c r="Y240" i="1"/>
  <c r="P31" i="1"/>
  <c r="P34" i="1"/>
  <c r="P33" i="1"/>
  <c r="P37" i="1"/>
  <c r="AA240" i="1" l="1"/>
  <c r="X241" i="1"/>
  <c r="I8" i="10"/>
  <c r="I7" i="10"/>
  <c r="I6" i="10"/>
  <c r="I5" i="10"/>
  <c r="I4" i="10"/>
  <c r="I3" i="10"/>
  <c r="H180" i="1"/>
  <c r="N180" i="1" s="1"/>
  <c r="O180" i="1" s="1"/>
  <c r="Y241" i="1" l="1"/>
  <c r="P216" i="1"/>
  <c r="H179" i="1"/>
  <c r="N179" i="1" s="1"/>
  <c r="O179" i="1" s="1"/>
  <c r="X242" i="1" l="1"/>
  <c r="AA241" i="1"/>
  <c r="P215" i="1"/>
  <c r="H178" i="1"/>
  <c r="N178" i="1" s="1"/>
  <c r="O178" i="1" s="1"/>
  <c r="Y242" i="1" l="1"/>
  <c r="P214" i="1"/>
  <c r="H176" i="1"/>
  <c r="N176" i="1" s="1"/>
  <c r="O176" i="1" s="1"/>
  <c r="H177" i="1"/>
  <c r="N177" i="1" s="1"/>
  <c r="O177" i="1" s="1"/>
  <c r="AA242" i="1" l="1"/>
  <c r="X243" i="1"/>
  <c r="P213" i="1"/>
  <c r="P212" i="1"/>
  <c r="H175" i="1"/>
  <c r="N175" i="1" s="1"/>
  <c r="O175" i="1" s="1"/>
  <c r="Y243" i="1" l="1"/>
  <c r="P211" i="1"/>
  <c r="H174" i="1"/>
  <c r="N174" i="1" s="1"/>
  <c r="O174" i="1" s="1"/>
  <c r="AA243" i="1" l="1"/>
  <c r="X244" i="1"/>
  <c r="P210" i="1"/>
  <c r="H173" i="1"/>
  <c r="N173" i="1" s="1"/>
  <c r="O173" i="1" s="1"/>
  <c r="Y244" i="1" l="1"/>
  <c r="P209" i="1"/>
  <c r="H172" i="1"/>
  <c r="N172" i="1" s="1"/>
  <c r="O172" i="1" s="1"/>
  <c r="H171" i="1"/>
  <c r="N171" i="1" s="1"/>
  <c r="O171" i="1" s="1"/>
  <c r="AA244" i="1" l="1"/>
  <c r="X245" i="1"/>
  <c r="P207" i="1"/>
  <c r="P208" i="1"/>
  <c r="H170" i="1"/>
  <c r="N170" i="1" s="1"/>
  <c r="O170" i="1" s="1"/>
  <c r="P206" i="1" l="1"/>
  <c r="Y245" i="1"/>
  <c r="H169" i="1"/>
  <c r="N169" i="1" s="1"/>
  <c r="O169" i="1" s="1"/>
  <c r="P205" i="1" l="1"/>
  <c r="X246" i="1"/>
  <c r="AA245" i="1"/>
  <c r="H168" i="1"/>
  <c r="N168" i="1" s="1"/>
  <c r="O168" i="1" s="1"/>
  <c r="P204" i="1" l="1"/>
  <c r="Y246" i="1"/>
  <c r="H167" i="1"/>
  <c r="N167" i="1" s="1"/>
  <c r="O167" i="1" s="1"/>
  <c r="P203" i="1" l="1"/>
  <c r="X247" i="1"/>
  <c r="AA246" i="1"/>
  <c r="H166" i="1"/>
  <c r="N166" i="1" s="1"/>
  <c r="O166" i="1" s="1"/>
  <c r="P202" i="1" l="1"/>
  <c r="Y247" i="1"/>
  <c r="H165" i="1"/>
  <c r="N165" i="1" s="1"/>
  <c r="O165" i="1" s="1"/>
  <c r="P201" i="1" l="1"/>
  <c r="AA247" i="1"/>
  <c r="X248" i="1"/>
  <c r="H164" i="1"/>
  <c r="N164" i="1" s="1"/>
  <c r="O164" i="1" s="1"/>
  <c r="P200" i="1" l="1"/>
  <c r="Y248" i="1"/>
  <c r="H163" i="1"/>
  <c r="N163" i="1" s="1"/>
  <c r="O163" i="1" s="1"/>
  <c r="P199" i="1" l="1"/>
  <c r="AA248" i="1"/>
  <c r="X249" i="1"/>
  <c r="H162" i="1"/>
  <c r="N162" i="1" s="1"/>
  <c r="O162" i="1" s="1"/>
  <c r="P198" i="1" l="1"/>
  <c r="Y249" i="1"/>
  <c r="H161" i="1"/>
  <c r="N161" i="1" s="1"/>
  <c r="O161" i="1" s="1"/>
  <c r="P197" i="1" l="1"/>
  <c r="X250" i="1"/>
  <c r="AA249" i="1"/>
  <c r="H160" i="1"/>
  <c r="N160" i="1" s="1"/>
  <c r="O160" i="1" s="1"/>
  <c r="P196" i="1" l="1"/>
  <c r="Y250" i="1"/>
  <c r="H159" i="1"/>
  <c r="N159" i="1" s="1"/>
  <c r="O159" i="1" s="1"/>
  <c r="P195" i="1" l="1"/>
  <c r="AA250" i="1"/>
  <c r="X251" i="1"/>
  <c r="H158" i="1"/>
  <c r="N158" i="1" s="1"/>
  <c r="O158" i="1" s="1"/>
  <c r="Y251" i="1" l="1"/>
  <c r="X252" i="1" s="1"/>
  <c r="P194" i="1"/>
  <c r="H157" i="1"/>
  <c r="N157" i="1" s="1"/>
  <c r="O157" i="1" s="1"/>
  <c r="AA251" i="1" l="1"/>
  <c r="Y252" i="1" s="1"/>
  <c r="P193" i="1"/>
  <c r="H156" i="1"/>
  <c r="N156" i="1" s="1"/>
  <c r="O156" i="1" s="1"/>
  <c r="X253" i="1" l="1"/>
  <c r="AA252" i="1"/>
  <c r="P192" i="1"/>
  <c r="H155" i="1"/>
  <c r="N155" i="1" s="1"/>
  <c r="O155" i="1" s="1"/>
  <c r="Y253" i="1" l="1"/>
  <c r="P191" i="1"/>
  <c r="H154" i="1"/>
  <c r="N154" i="1" s="1"/>
  <c r="O154" i="1" s="1"/>
  <c r="X254" i="1" l="1"/>
  <c r="AA253" i="1"/>
  <c r="P190" i="1"/>
  <c r="H153" i="1"/>
  <c r="N153" i="1" s="1"/>
  <c r="O153" i="1" s="1"/>
  <c r="Y254" i="1" l="1"/>
  <c r="P189" i="1"/>
  <c r="H152" i="1"/>
  <c r="N152" i="1" s="1"/>
  <c r="O152" i="1" s="1"/>
  <c r="AA254" i="1" l="1"/>
  <c r="X255" i="1"/>
  <c r="P188" i="1"/>
  <c r="H151" i="1"/>
  <c r="N151" i="1" s="1"/>
  <c r="O151" i="1" s="1"/>
  <c r="Y255" i="1" l="1"/>
  <c r="P187" i="1"/>
  <c r="H150" i="1"/>
  <c r="N150" i="1" s="1"/>
  <c r="O150" i="1" s="1"/>
  <c r="X256" i="1" l="1"/>
  <c r="AA255" i="1"/>
  <c r="P186" i="1"/>
  <c r="H149" i="1"/>
  <c r="N149" i="1" s="1"/>
  <c r="O149" i="1" s="1"/>
  <c r="Y256" i="1" l="1"/>
  <c r="P185" i="1"/>
  <c r="H148" i="1"/>
  <c r="N148" i="1" s="1"/>
  <c r="O148" i="1" s="1"/>
  <c r="AA256" i="1" l="1"/>
  <c r="X257" i="1"/>
  <c r="P184" i="1"/>
  <c r="H147" i="1"/>
  <c r="N147" i="1" s="1"/>
  <c r="O147" i="1" s="1"/>
  <c r="Y257" i="1" l="1"/>
  <c r="P183" i="1"/>
  <c r="H146" i="1"/>
  <c r="N146" i="1" s="1"/>
  <c r="O146" i="1" s="1"/>
  <c r="AA257" i="1" l="1"/>
  <c r="X258" i="1"/>
  <c r="P182" i="1"/>
  <c r="H145" i="1"/>
  <c r="N145" i="1" s="1"/>
  <c r="O145" i="1" s="1"/>
  <c r="Y258" i="1" l="1"/>
  <c r="P181" i="1"/>
  <c r="H144" i="1"/>
  <c r="N144" i="1" s="1"/>
  <c r="O144" i="1" s="1"/>
  <c r="AA258" i="1" l="1"/>
  <c r="X259" i="1"/>
  <c r="P180" i="1"/>
  <c r="H143" i="1"/>
  <c r="N143" i="1" s="1"/>
  <c r="O143" i="1" s="1"/>
  <c r="Y259" i="1" l="1"/>
  <c r="P179" i="1"/>
  <c r="H142" i="1"/>
  <c r="N142" i="1" s="1"/>
  <c r="O142" i="1" s="1"/>
  <c r="AA259" i="1" l="1"/>
  <c r="X260" i="1"/>
  <c r="P178" i="1"/>
  <c r="H141" i="1"/>
  <c r="N141" i="1" s="1"/>
  <c r="O141" i="1" s="1"/>
  <c r="Y260" i="1" l="1"/>
  <c r="P177" i="1"/>
  <c r="H140" i="1"/>
  <c r="N140" i="1" s="1"/>
  <c r="O140" i="1" s="1"/>
  <c r="AA260" i="1" l="1"/>
  <c r="X261" i="1"/>
  <c r="P176" i="1"/>
  <c r="H139" i="1"/>
  <c r="N139" i="1" s="1"/>
  <c r="O139" i="1" s="1"/>
  <c r="Y261" i="1" l="1"/>
  <c r="P175" i="1"/>
  <c r="H138" i="1"/>
  <c r="N138" i="1" s="1"/>
  <c r="O138" i="1" s="1"/>
  <c r="AA261" i="1" l="1"/>
  <c r="X262" i="1"/>
  <c r="P174" i="1"/>
  <c r="H137" i="1"/>
  <c r="N137" i="1" s="1"/>
  <c r="O137" i="1" s="1"/>
  <c r="Y262" i="1" l="1"/>
  <c r="X263" i="1" s="1"/>
  <c r="P173" i="1"/>
  <c r="H136" i="1"/>
  <c r="N136" i="1" s="1"/>
  <c r="O136" i="1" s="1"/>
  <c r="AA262" i="1" l="1"/>
  <c r="Y263" i="1" s="1"/>
  <c r="X264" i="1" s="1"/>
  <c r="P172" i="1"/>
  <c r="H135" i="1"/>
  <c r="N135" i="1" s="1"/>
  <c r="O135" i="1" s="1"/>
  <c r="H134" i="1"/>
  <c r="N134" i="1" s="1"/>
  <c r="O134" i="1" s="1"/>
  <c r="AA263" i="1" l="1"/>
  <c r="Y264" i="1" s="1"/>
  <c r="P170" i="1"/>
  <c r="P171" i="1"/>
  <c r="H133" i="1"/>
  <c r="N133" i="1" s="1"/>
  <c r="O133" i="1" s="1"/>
  <c r="AA264" i="1" l="1"/>
  <c r="X265" i="1"/>
  <c r="P169" i="1"/>
  <c r="H132" i="1"/>
  <c r="N132" i="1" s="1"/>
  <c r="O132" i="1" s="1"/>
  <c r="Y265" i="1" l="1"/>
  <c r="P168" i="1"/>
  <c r="H131" i="1"/>
  <c r="N131" i="1" s="1"/>
  <c r="O131" i="1" s="1"/>
  <c r="X266" i="1" l="1"/>
  <c r="AA265" i="1"/>
  <c r="P167" i="1"/>
  <c r="H130" i="1"/>
  <c r="N130" i="1" s="1"/>
  <c r="O130" i="1" s="1"/>
  <c r="Y266" i="1" l="1"/>
  <c r="P166" i="1"/>
  <c r="H129" i="1"/>
  <c r="N129" i="1" s="1"/>
  <c r="O129" i="1" s="1"/>
  <c r="AA266" i="1" l="1"/>
  <c r="X267" i="1"/>
  <c r="P165" i="1"/>
  <c r="H128" i="1"/>
  <c r="N128" i="1" s="1"/>
  <c r="O128" i="1" s="1"/>
  <c r="Y267" i="1" l="1"/>
  <c r="P164" i="1"/>
  <c r="H127" i="1"/>
  <c r="N127" i="1" s="1"/>
  <c r="O127" i="1" s="1"/>
  <c r="AA267" i="1" l="1"/>
  <c r="X268" i="1"/>
  <c r="P163" i="1"/>
  <c r="H126" i="1"/>
  <c r="N126" i="1" s="1"/>
  <c r="O126" i="1" s="1"/>
  <c r="Y268" i="1" l="1"/>
  <c r="P162" i="1"/>
  <c r="H123" i="1"/>
  <c r="N123" i="1" s="1"/>
  <c r="O123" i="1" s="1"/>
  <c r="AA268" i="1" l="1"/>
  <c r="X269" i="1"/>
  <c r="P159" i="1"/>
  <c r="H125" i="1"/>
  <c r="N125" i="1" s="1"/>
  <c r="O125" i="1" s="1"/>
  <c r="Y269" i="1" l="1"/>
  <c r="P161" i="1"/>
  <c r="H124" i="1"/>
  <c r="N124" i="1" s="1"/>
  <c r="O124" i="1" s="1"/>
  <c r="X270" i="1" l="1"/>
  <c r="AA269" i="1"/>
  <c r="P160" i="1"/>
  <c r="H122" i="1"/>
  <c r="N122" i="1" s="1"/>
  <c r="O122" i="1" s="1"/>
  <c r="Y270" i="1" l="1"/>
  <c r="P158" i="1"/>
  <c r="H121" i="1"/>
  <c r="N121" i="1" s="1"/>
  <c r="O121" i="1" s="1"/>
  <c r="H120" i="1"/>
  <c r="N120" i="1" s="1"/>
  <c r="O120" i="1" s="1"/>
  <c r="H119" i="1"/>
  <c r="N119" i="1" s="1"/>
  <c r="O119" i="1" s="1"/>
  <c r="AA270" i="1" l="1"/>
  <c r="X271" i="1"/>
  <c r="P155" i="1"/>
  <c r="P156" i="1"/>
  <c r="P157" i="1"/>
  <c r="H118" i="1"/>
  <c r="N118" i="1" s="1"/>
  <c r="O118" i="1" s="1"/>
  <c r="H117" i="1"/>
  <c r="N117" i="1" s="1"/>
  <c r="O117" i="1" s="1"/>
  <c r="H116" i="1"/>
  <c r="N116" i="1" s="1"/>
  <c r="O116" i="1" s="1"/>
  <c r="Y271" i="1" l="1"/>
  <c r="AA271" i="1"/>
  <c r="X272" i="1"/>
  <c r="P152" i="1"/>
  <c r="P153" i="1"/>
  <c r="P154" i="1"/>
  <c r="H115" i="1"/>
  <c r="N115" i="1" s="1"/>
  <c r="O115" i="1" s="1"/>
  <c r="H114" i="1"/>
  <c r="N114" i="1" s="1"/>
  <c r="O114" i="1" s="1"/>
  <c r="H113" i="1"/>
  <c r="N113" i="1" s="1"/>
  <c r="O113" i="1" s="1"/>
  <c r="Y272" i="1" l="1"/>
  <c r="X273" i="1" s="1"/>
  <c r="P149" i="1"/>
  <c r="P150" i="1"/>
  <c r="P151" i="1"/>
  <c r="H112" i="1"/>
  <c r="N112" i="1" s="1"/>
  <c r="O112" i="1" s="1"/>
  <c r="AA272" i="1" l="1"/>
  <c r="Y273" i="1"/>
  <c r="P148" i="1"/>
  <c r="H111" i="1"/>
  <c r="N111" i="1" s="1"/>
  <c r="O111" i="1" s="1"/>
  <c r="H110" i="1"/>
  <c r="N110" i="1" s="1"/>
  <c r="O110" i="1" s="1"/>
  <c r="H109" i="1"/>
  <c r="N109" i="1" s="1"/>
  <c r="O109" i="1" s="1"/>
  <c r="H108" i="1"/>
  <c r="N108" i="1" s="1"/>
  <c r="O108" i="1" s="1"/>
  <c r="H107" i="1"/>
  <c r="N107" i="1" s="1"/>
  <c r="O107" i="1" s="1"/>
  <c r="AA273" i="1" l="1"/>
  <c r="X274" i="1"/>
  <c r="R307" i="1" s="1"/>
  <c r="P107" i="1"/>
  <c r="P119" i="1"/>
  <c r="P131" i="1"/>
  <c r="P143" i="1"/>
  <c r="P109" i="1"/>
  <c r="P121" i="1"/>
  <c r="P133" i="1"/>
  <c r="P145" i="1"/>
  <c r="P108" i="1"/>
  <c r="P120" i="1"/>
  <c r="P132" i="1"/>
  <c r="P144" i="1"/>
  <c r="P146" i="1"/>
  <c r="P147" i="1"/>
  <c r="H106" i="1"/>
  <c r="N106" i="1" s="1"/>
  <c r="O106" i="1" s="1"/>
  <c r="H105" i="1"/>
  <c r="N105" i="1" s="1"/>
  <c r="O105" i="1" s="1"/>
  <c r="H104" i="1"/>
  <c r="N104" i="1" s="1"/>
  <c r="O104" i="1" s="1"/>
  <c r="H103" i="1"/>
  <c r="N103" i="1" s="1"/>
  <c r="O103" i="1" s="1"/>
  <c r="H101" i="1"/>
  <c r="N101" i="1" s="1"/>
  <c r="O101" i="1" s="1"/>
  <c r="H102" i="1"/>
  <c r="N102" i="1" s="1"/>
  <c r="O102" i="1" s="1"/>
  <c r="R305" i="1" l="1"/>
  <c r="R306" i="1"/>
  <c r="R303" i="1"/>
  <c r="R304" i="1"/>
  <c r="R300" i="1"/>
  <c r="R301" i="1"/>
  <c r="R298" i="1"/>
  <c r="R299" i="1"/>
  <c r="R295" i="1"/>
  <c r="R296" i="1"/>
  <c r="R293" i="1"/>
  <c r="R294" i="1"/>
  <c r="Y274" i="1"/>
  <c r="R302" i="1" s="1"/>
  <c r="R292" i="1"/>
  <c r="R214" i="1"/>
  <c r="R221" i="1"/>
  <c r="R250" i="1"/>
  <c r="R237" i="1"/>
  <c r="R266" i="1"/>
  <c r="R199" i="1"/>
  <c r="R241" i="1"/>
  <c r="R261" i="1"/>
  <c r="R207" i="1"/>
  <c r="R291" i="1"/>
  <c r="R283" i="1"/>
  <c r="R289" i="1"/>
  <c r="R264" i="1"/>
  <c r="R255" i="1"/>
  <c r="R223" i="1"/>
  <c r="R196" i="1"/>
  <c r="R251" i="1"/>
  <c r="R243" i="1"/>
  <c r="R256" i="1"/>
  <c r="R208" i="1"/>
  <c r="R269" i="1"/>
  <c r="R226" i="1"/>
  <c r="R210" i="1"/>
  <c r="R258" i="1"/>
  <c r="R235" i="1"/>
  <c r="R245" i="1"/>
  <c r="R248" i="1"/>
  <c r="R213" i="1"/>
  <c r="R200" i="1"/>
  <c r="R211" i="1"/>
  <c r="R198" i="1"/>
  <c r="R268" i="1"/>
  <c r="R257" i="1"/>
  <c r="R222" i="1"/>
  <c r="R285" i="1"/>
  <c r="R212" i="1"/>
  <c r="R252" i="1"/>
  <c r="R265" i="1"/>
  <c r="R259" i="1"/>
  <c r="R234" i="1"/>
  <c r="R279" i="1"/>
  <c r="R280" i="1"/>
  <c r="R254" i="1"/>
  <c r="R244" i="1"/>
  <c r="R217" i="1"/>
  <c r="R239" i="1"/>
  <c r="R240" i="1"/>
  <c r="R282" i="1"/>
  <c r="R203" i="1"/>
  <c r="R233" i="1"/>
  <c r="R236" i="1"/>
  <c r="R232" i="1"/>
  <c r="R204" i="1"/>
  <c r="R242" i="1"/>
  <c r="R272" i="1"/>
  <c r="R209" i="1"/>
  <c r="R215" i="1"/>
  <c r="R260" i="1"/>
  <c r="R249" i="1"/>
  <c r="R216" i="1"/>
  <c r="R201" i="1"/>
  <c r="R270" i="1"/>
  <c r="R267" i="1"/>
  <c r="R238" i="1"/>
  <c r="R224" i="1"/>
  <c r="R230" i="1"/>
  <c r="R273" i="1"/>
  <c r="R263" i="1"/>
  <c r="R202" i="1"/>
  <c r="R275" i="1"/>
  <c r="R271" i="1"/>
  <c r="R205" i="1"/>
  <c r="R287" i="1"/>
  <c r="R278" i="1"/>
  <c r="R277" i="1"/>
  <c r="R197" i="1"/>
  <c r="R286" i="1"/>
  <c r="R247" i="1"/>
  <c r="R225" i="1"/>
  <c r="R220" i="1"/>
  <c r="R227" i="1"/>
  <c r="R228" i="1"/>
  <c r="R219" i="1"/>
  <c r="R206" i="1"/>
  <c r="R218" i="1"/>
  <c r="R231" i="1"/>
  <c r="R281" i="1"/>
  <c r="R253" i="1"/>
  <c r="R262" i="1"/>
  <c r="R246" i="1"/>
  <c r="R229" i="1"/>
  <c r="R276" i="1"/>
  <c r="R284" i="1"/>
  <c r="R274" i="1"/>
  <c r="R288" i="1"/>
  <c r="R290" i="1"/>
  <c r="P101" i="1"/>
  <c r="P125" i="1"/>
  <c r="P137" i="1"/>
  <c r="P113" i="1"/>
  <c r="P103" i="1"/>
  <c r="P127" i="1"/>
  <c r="P139" i="1"/>
  <c r="P115" i="1"/>
  <c r="P102" i="1"/>
  <c r="P126" i="1"/>
  <c r="P114" i="1"/>
  <c r="P138" i="1"/>
  <c r="P105" i="1"/>
  <c r="P117" i="1"/>
  <c r="P129" i="1"/>
  <c r="P141" i="1"/>
  <c r="P104" i="1"/>
  <c r="P116" i="1"/>
  <c r="P128" i="1"/>
  <c r="P140" i="1"/>
  <c r="P106" i="1"/>
  <c r="P118" i="1"/>
  <c r="P130" i="1"/>
  <c r="P142" i="1"/>
  <c r="H100" i="1"/>
  <c r="N100" i="1" s="1"/>
  <c r="O100" i="1" s="1"/>
  <c r="H99" i="1"/>
  <c r="N99" i="1" s="1"/>
  <c r="O99" i="1" s="1"/>
  <c r="H98" i="1"/>
  <c r="N98" i="1" s="1"/>
  <c r="O98" i="1" s="1"/>
  <c r="AA274" i="1" l="1"/>
  <c r="R297" i="1"/>
  <c r="P98" i="1"/>
  <c r="P110" i="1"/>
  <c r="P134" i="1"/>
  <c r="P122" i="1"/>
  <c r="P99" i="1"/>
  <c r="P111" i="1"/>
  <c r="P135" i="1"/>
  <c r="P123" i="1"/>
  <c r="P100" i="1"/>
  <c r="P112" i="1"/>
  <c r="P124" i="1"/>
  <c r="P1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solowola</author>
    <author>Government User</author>
    <author>Adam Sparger</author>
  </authors>
  <commentList>
    <comment ref="H98" authorId="0" shapeId="0" xr:uid="{00000000-0006-0000-0200-000001000000}">
      <text>
        <r>
          <rPr>
            <b/>
            <sz val="8"/>
            <color indexed="81"/>
            <rFont val="Tahoma"/>
            <family val="2"/>
          </rPr>
          <t xml:space="preserve">IW: Enter formula for average and fuel surcharge at the beginning of the  month.  As CP updates the surcharge, add the new surcharge to the formula for the average, e.g.  if the surchage is .01 for the first two weeks of January input "=AVERAGE(.01)".  Then when the surcharge is updated, for exmaple to .02, for the second two weeks of the month input "=AVERAGE(.01,.02)" into the cell. </t>
        </r>
        <r>
          <rPr>
            <sz val="8"/>
            <color indexed="81"/>
            <rFont val="Tahoma"/>
            <family val="2"/>
          </rPr>
          <t xml:space="preserve">
</t>
        </r>
      </text>
    </comment>
    <comment ref="D124" authorId="1" shapeId="0" xr:uid="{00000000-0006-0000-0200-000002000000}">
      <text>
        <r>
          <rPr>
            <b/>
            <sz val="10"/>
            <color indexed="81"/>
            <rFont val="Tahoma"/>
            <family val="2"/>
          </rPr>
          <t>Government User:</t>
        </r>
        <r>
          <rPr>
            <sz val="10"/>
            <color indexed="81"/>
            <rFont val="Tahoma"/>
            <family val="2"/>
          </rPr>
          <t xml:space="preserve">
BNSF institutes a new strike price of $2.50/gal instead of $1.25/gal.</t>
        </r>
      </text>
    </comment>
    <comment ref="S170" authorId="2" shapeId="0" xr:uid="{00000000-0006-0000-0200-000003000000}">
      <text>
        <r>
          <rPr>
            <b/>
            <sz val="9"/>
            <color indexed="81"/>
            <rFont val="Tahoma"/>
            <family val="2"/>
          </rPr>
          <t>Adam Sparger:</t>
        </r>
        <r>
          <rPr>
            <sz val="9"/>
            <color indexed="81"/>
            <rFont val="Tahoma"/>
            <family val="2"/>
          </rPr>
          <t xml:space="preserve">
New pricing on Ferromex takes effect.  Mexican Government regulation restricts fuel surcharges.  Instead of 29%, now 3.5%, but at higher tariff rate.</t>
        </r>
      </text>
    </comment>
    <comment ref="AD176" authorId="2" shapeId="0" xr:uid="{00000000-0006-0000-0200-000004000000}">
      <text>
        <r>
          <rPr>
            <b/>
            <sz val="9"/>
            <color indexed="81"/>
            <rFont val="Tahoma"/>
            <family val="2"/>
          </rPr>
          <t>Adam Sparger:</t>
        </r>
        <r>
          <rPr>
            <sz val="9"/>
            <color indexed="81"/>
            <rFont val="Tahoma"/>
            <family val="2"/>
          </rPr>
          <t xml:space="preserve">
New pricing on Ferromex takes effect.  Mexican Government regulation restricts fuel surcharges.  Instead of 29%, now 3.5%, but at higher tariff rate.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8F105C4-EF8A-4A24-A218-D89179B6B316}" keepAlive="1" name="Query - Query1" description="Connection to the 'Query1' query in the workbook." type="5" refreshedVersion="8" background="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<sst xmlns="http://schemas.openxmlformats.org/spreadsheetml/2006/main" count="80" uniqueCount="60">
  <si>
    <t>Starting Jan-09 CP is calculated using average of bi-weekly fuel surcharge</t>
  </si>
  <si>
    <t>Effective March 2017, KCS removed the percent of tariff fuel surcharge from it's website. Data provide here since is a calculation from KCSM's Mexican diesel price per liter that matches prior KCS provided data.</t>
  </si>
  <si>
    <t>Effective March 3, 2022 CN broke out its fuel surcharge into one applied to intra-Canada movements and one for shipments that originate or terminate in the US or Mexico. The intra-Canada fuel surchages match the prior fuel surcharge collected for January and February 2022. However, the US fuel surcharge is provided here starting with March 2022. For March 2022, the difference between the US fuel surcharge and the intra-Canada fuel surcharge was 2.8 cents. That is, there is an artifactual increase in the CN fuel surcharge in March 2022.</t>
  </si>
  <si>
    <t>Percent of North American Grain Traffic Originated (for weighted average)</t>
  </si>
  <si>
    <t>Year</t>
  </si>
  <si>
    <t>BNSF</t>
  </si>
  <si>
    <t>CN</t>
  </si>
  <si>
    <t>CP</t>
  </si>
  <si>
    <t>CSXT</t>
  </si>
  <si>
    <t>KCS</t>
  </si>
  <si>
    <t>NS</t>
  </si>
  <si>
    <t>UP</t>
  </si>
  <si>
    <t>Total</t>
  </si>
  <si>
    <t>Sum of sum_carloads</t>
  </si>
  <si>
    <t>Column Labels</t>
  </si>
  <si>
    <t>Row Labels</t>
  </si>
  <si>
    <t>CSX</t>
  </si>
  <si>
    <t>Grand Total</t>
  </si>
  <si>
    <t>Date</t>
  </si>
  <si>
    <t>BNSF - 1.25 sp</t>
  </si>
  <si>
    <t>BNSF - 2.50 sp</t>
  </si>
  <si>
    <t>N_America</t>
  </si>
  <si>
    <t>Weighted_Avg</t>
  </si>
  <si>
    <t>3_Yr_Monthly_Avg</t>
  </si>
  <si>
    <t>Figure 3 Filter</t>
  </si>
  <si>
    <t>KCSM</t>
  </si>
  <si>
    <t>FerroMex</t>
  </si>
  <si>
    <t>EIA HDF Price</t>
  </si>
  <si>
    <t>KCSM Percentage Based Reduction on Rate Discount due to fuel price variations</t>
  </si>
  <si>
    <t>KCSM MXP/Liter</t>
  </si>
  <si>
    <t>KCSM/Mile</t>
  </si>
  <si>
    <t>Lower mxp/liter</t>
  </si>
  <si>
    <t>Upper mxp/liter</t>
  </si>
  <si>
    <t>fsc as % of tariff</t>
  </si>
  <si>
    <t>TRUE</t>
  </si>
  <si>
    <t xml:space="preserve">Fuel surcharge ($/mile/railcar) </t>
  </si>
  <si>
    <t xml:space="preserve">3-year monthly average </t>
  </si>
  <si>
    <t>Value</t>
  </si>
  <si>
    <t>Change</t>
  </si>
  <si>
    <t>Text Change</t>
  </si>
  <si>
    <t>Text % Change</t>
  </si>
  <si>
    <t>3-year average</t>
  </si>
  <si>
    <t>BNSF has implemented multiple strike-prices to calculate their fuel surcharge, each captured here in a separate column in the data tab. The average columns use whichever strike-price was in effect for grain tariffs at the time. Prior to March 2011, the strike price was 1.25, after which is was 2.50. In February 2015, BNSF removed the fuel surcharge from its grain tariffs. In January 2022, BNSF began charging a fuel surcharge again, at a strike price of 3.25.</t>
  </si>
  <si>
    <t>BNSF - 3.25 sp (A)</t>
  </si>
  <si>
    <t>BNSF - 3.25 sp (B)</t>
  </si>
  <si>
    <t>CPKC</t>
  </si>
  <si>
    <t>Effective July 2025, BNSF updated its $2.50 strike price fuel surcharge to use a 5 cent HDF increment instead of the 4 cent prior increment.</t>
  </si>
  <si>
    <t>Effective July 2025, BNSF updated its $3.25 strike price fuel surcharge to use a 5 cent HDF increment instead of the 4 cent prior increment.</t>
  </si>
  <si>
    <t>Effective July 2025, Norfolk Southern added a fuel surcharge to their grain tariffs.</t>
  </si>
  <si>
    <t>CSXT - 8661</t>
  </si>
  <si>
    <t>CSXT - 8662</t>
  </si>
  <si>
    <t>Effective January 1, 2015, 8661-B was revised in 8661-C to only apply to contracts: “to all linehaul freight rates and charges in contracts that reference this publication and were entered into or issued and effective on or after April 23, 2007.”</t>
  </si>
  <si>
    <t>At the same time, a new tariff, Publication 8662 took effect January 1, 2015, which “applies to all regulated common carriage and public exempt line haul freight rates.” Publication 8662 has a strike price of 375 cents and increases 1 cent/mile per every 4 cents the average HDF price is above 374.9 cents. Effective January 1, 2022, CSX removed the fuel surcharge from its public tariffs; Publication 8662 was discontinued. (Publication 8661-C continued to be in effect for contracts.)</t>
  </si>
  <si>
    <t>On May 5, 2026, CSX announced—effective June 5, 2026—that Publication 8662 would be reinstated. As before, 8662 applies to “to all regulated common carriage and public exempt line haul freight rates existing or established by CSXT” (in this case, “on or after June 5, 2026”). Publication 8662 keeps the same 375 cents/gal trigger and increases 1 cent per mile for every 4 cents per gallon “the HDF Average Price for the calendar month two months prior to the calendar month of shipment exceeds 374.9 cents.”</t>
  </si>
  <si>
    <t>Both the 8661 and 8662 formulas are computed in the table. The average and weighted-average calculations use: the 8661 formula through 2015, the 8662 formula from 2015 to 2022, zero between January 2022 and June 2026, and 8662 starting June 2026.</t>
  </si>
  <si>
    <t>Weighted Average Rate</t>
  </si>
  <si>
    <t>All collected fuel surcharges a mileage-based ($/mile)</t>
  </si>
  <si>
    <t>Collected fuel surcharges are a mix of formulaic calculations (as defined in railroad fuel surcharge rulebooks) and hard-code values that were reported on railroad websites. Prior to April 2007 all values are formula-based for all railroads except BNSF, for which values prior to January 2006 are formula-based.</t>
  </si>
  <si>
    <t>The data tab includes a weighted average rate. Railroad fuel surcharges are weighted by the railroad's share of grain carloads in the prior calendar year (shown in the Weights tab).</t>
  </si>
  <si>
    <t>Starting in 2026, CPKC carload shares are reallocated back to CP and KCS based on pre-merger carload shares, because CPKC applies a separate fuel surcharge (CPKC 9012) to the prior-KCS grain tariffs than it does to prior-CP tariffs (CPKC 9700)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</si>
</sst>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409]mmm\-yy;@"/>
    <numFmt numFmtId="166" formatCode="0.000"/>
    <numFmt numFmtId="167" formatCode="0.0000"/>
    <numFmt numFmtId="168" formatCode="&quot;$&quot;#,##0.00"/>
    <numFmt numFmtId="169" formatCode="&quot;$&quot;#,##0.00000"/>
    <numFmt numFmtId="170" formatCode="mmm\-yyyy"/>
  </numFmts>
  <fonts count="21">
    <font>
      <sz val="10"/>
      <name val="Arial"/>
    </font>
    <font>
      <sz val="11"/>
      <color theme="1"/>
      <name val="Calibri"/>
      <family val="2"/>
      <scheme val="minor"/>
    </font>
    <font>
      <sz val="10"/>
      <name val="Arial"/>
      <family val="2"/>
    </font>
    <font>
      <sz val="8"/>
      <name val="Arial"/>
      <family val="2"/>
    </font>
    <font>
      <b/>
      <sz val="10"/>
      <name val="Arial"/>
      <family val="2"/>
    </font>
    <font>
      <sz val="8"/>
      <name val="Times New Roman"/>
      <family val="1"/>
    </font>
    <font>
      <sz val="9"/>
      <name val="Times New Roman"/>
      <family val="1"/>
    </font>
    <font>
      <b/>
      <sz val="11"/>
      <name val="Times New Roman"/>
      <family val="1"/>
    </font>
    <font>
      <b/>
      <sz val="10"/>
      <color indexed="12"/>
      <name val="Arial"/>
      <family val="2"/>
    </font>
    <font>
      <sz val="10"/>
      <color indexed="12"/>
      <name val="Arial"/>
      <family val="2"/>
    </font>
    <font>
      <sz val="8"/>
      <color indexed="81"/>
      <name val="Tahoma"/>
      <family val="2"/>
    </font>
    <font>
      <b/>
      <sz val="8"/>
      <color indexed="81"/>
      <name val="Tahoma"/>
      <family val="2"/>
    </font>
    <font>
      <sz val="10"/>
      <name val="Inherit"/>
    </font>
    <font>
      <sz val="10"/>
      <color indexed="81"/>
      <name val="Tahoma"/>
      <family val="2"/>
    </font>
    <font>
      <b/>
      <sz val="10"/>
      <color indexed="81"/>
      <name val="Tahoma"/>
      <family val="2"/>
    </font>
    <font>
      <sz val="9"/>
      <color indexed="81"/>
      <name val="Tahoma"/>
      <family val="2"/>
    </font>
    <font>
      <b/>
      <sz val="9"/>
      <color indexed="81"/>
      <name val="Tahoma"/>
      <family val="2"/>
    </font>
    <font>
      <b/>
      <sz val="11"/>
      <color theme="1"/>
      <name val="Calibri"/>
      <family val="2"/>
      <scheme val="minor"/>
    </font>
    <font>
      <b/>
      <sz val="10"/>
      <color theme="0"/>
      <name val="Arial"/>
      <family val="2"/>
    </font>
    <font>
      <sz val="10"/>
      <color theme="1"/>
      <name val="Arial"/>
      <family val="2"/>
    </font>
    <font>
      <sz val="10"/>
      <color rgb="FFFF0000"/>
      <name val="Arial"/>
      <family val="2"/>
    </font>
  </fonts>
  <fills count="7">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theme="4" tint="0.59999389629810485"/>
      </patternFill>
    </fill>
  </fills>
  <borders count="16">
    <border>
      <left/>
      <right/>
      <top/>
      <bottom/>
      <diagonal/>
    </border>
    <border>
      <left/>
      <right/>
      <top/>
      <bottom style="medium">
        <color indexed="64"/>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theme="0"/>
      </left>
      <right style="thin">
        <color theme="0"/>
      </right>
      <top style="thin">
        <color theme="0"/>
      </top>
      <bottom style="thin">
        <color theme="0"/>
      </bottom>
      <diagonal/>
    </border>
  </borders>
  <cellStyleXfs count="4">
    <xf numFmtId="0" fontId="0" fillId="0" borderId="0"/>
    <xf numFmtId="9" fontId="2"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63">
    <xf numFmtId="0" fontId="0" fillId="0" borderId="0" xfId="0"/>
    <xf numFmtId="0" fontId="4" fillId="0" borderId="0" xfId="0" applyFont="1"/>
    <xf numFmtId="0" fontId="4" fillId="0" borderId="1" xfId="0" applyFont="1" applyBorder="1"/>
    <xf numFmtId="164" fontId="0" fillId="0" borderId="0" xfId="1" applyNumberFormat="1" applyFont="1"/>
    <xf numFmtId="165" fontId="0" fillId="0" borderId="0" xfId="0" applyNumberFormat="1"/>
    <xf numFmtId="164" fontId="0" fillId="0" borderId="0" xfId="0" applyNumberFormat="1"/>
    <xf numFmtId="2" fontId="0" fillId="0" borderId="0" xfId="0" applyNumberFormat="1"/>
    <xf numFmtId="2" fontId="0" fillId="0" borderId="0" xfId="0" applyNumberFormat="1" applyAlignment="1">
      <alignment horizontal="right"/>
    </xf>
    <xf numFmtId="2" fontId="9" fillId="0" borderId="0" xfId="0" applyNumberFormat="1" applyFont="1" applyAlignment="1">
      <alignment horizontal="right"/>
    </xf>
    <xf numFmtId="167" fontId="9" fillId="0" borderId="0" xfId="0" applyNumberFormat="1" applyFont="1" applyAlignment="1">
      <alignment horizontal="right"/>
    </xf>
    <xf numFmtId="167" fontId="0" fillId="0" borderId="0" xfId="0" applyNumberFormat="1" applyAlignment="1">
      <alignment horizontal="right"/>
    </xf>
    <xf numFmtId="2" fontId="2" fillId="0" borderId="0" xfId="0" applyNumberFormat="1" applyFont="1" applyAlignment="1">
      <alignment horizontal="right"/>
    </xf>
    <xf numFmtId="165" fontId="0" fillId="0" borderId="0" xfId="0" applyNumberFormat="1" applyAlignment="1">
      <alignment horizontal="left"/>
    </xf>
    <xf numFmtId="0" fontId="0" fillId="0" borderId="2" xfId="0" applyBorder="1"/>
    <xf numFmtId="166" fontId="0" fillId="0" borderId="0" xfId="1" applyNumberFormat="1" applyFont="1"/>
    <xf numFmtId="167" fontId="0" fillId="0" borderId="0" xfId="0" applyNumberFormat="1"/>
    <xf numFmtId="167" fontId="4" fillId="0" borderId="0" xfId="0" applyNumberFormat="1" applyFont="1"/>
    <xf numFmtId="167" fontId="8" fillId="0" borderId="0" xfId="0" applyNumberFormat="1" applyFont="1"/>
    <xf numFmtId="167" fontId="4" fillId="0" borderId="1" xfId="0" applyNumberFormat="1" applyFont="1" applyBorder="1"/>
    <xf numFmtId="167" fontId="12" fillId="0" borderId="0" xfId="0" applyNumberFormat="1" applyFont="1"/>
    <xf numFmtId="0" fontId="0" fillId="0" borderId="0" xfId="0" pivotButton="1"/>
    <xf numFmtId="165" fontId="4" fillId="0" borderId="1" xfId="0" applyNumberFormat="1" applyFont="1" applyBorder="1"/>
    <xf numFmtId="167" fontId="1" fillId="2" borderId="5" xfId="2" applyNumberFormat="1" applyBorder="1" applyAlignment="1">
      <alignment horizontal="center"/>
    </xf>
    <xf numFmtId="167" fontId="1" fillId="2" borderId="8" xfId="2" applyNumberFormat="1" applyBorder="1" applyAlignment="1">
      <alignment horizontal="center"/>
    </xf>
    <xf numFmtId="168" fontId="1" fillId="2" borderId="3" xfId="2" applyNumberFormat="1" applyBorder="1" applyAlignment="1">
      <alignment horizontal="center"/>
    </xf>
    <xf numFmtId="168" fontId="1" fillId="2" borderId="7" xfId="2" applyNumberFormat="1" applyBorder="1" applyAlignment="1">
      <alignment horizontal="center"/>
    </xf>
    <xf numFmtId="0" fontId="17" fillId="3" borderId="9" xfId="3" applyNumberFormat="1" applyFont="1" applyBorder="1" applyAlignment="1">
      <alignment horizontal="center"/>
    </xf>
    <xf numFmtId="165" fontId="17" fillId="3" borderId="4" xfId="3" applyNumberFormat="1" applyFont="1" applyBorder="1" applyAlignment="1">
      <alignment horizontal="center"/>
    </xf>
    <xf numFmtId="0" fontId="17" fillId="3" borderId="4" xfId="3" applyNumberFormat="1" applyFont="1" applyBorder="1" applyAlignment="1">
      <alignment horizontal="center"/>
    </xf>
    <xf numFmtId="165" fontId="17" fillId="3" borderId="6" xfId="3" applyNumberFormat="1" applyFont="1" applyBorder="1" applyAlignment="1">
      <alignment horizontal="center"/>
    </xf>
    <xf numFmtId="0" fontId="17" fillId="3" borderId="10" xfId="3" applyFont="1" applyBorder="1" applyAlignment="1">
      <alignment horizontal="center"/>
    </xf>
    <xf numFmtId="0" fontId="17" fillId="3" borderId="11" xfId="3" applyFont="1" applyBorder="1" applyAlignment="1">
      <alignment horizontal="center"/>
    </xf>
    <xf numFmtId="9" fontId="0" fillId="0" borderId="0" xfId="1" applyFont="1"/>
    <xf numFmtId="166" fontId="2" fillId="0" borderId="0" xfId="1" applyNumberFormat="1" applyFont="1"/>
    <xf numFmtId="164" fontId="2" fillId="0" borderId="0" xfId="1" applyNumberFormat="1" applyFont="1"/>
    <xf numFmtId="0" fontId="17" fillId="3" borderId="12" xfId="3" applyFont="1" applyBorder="1" applyAlignment="1">
      <alignment horizontal="center"/>
    </xf>
    <xf numFmtId="168" fontId="1" fillId="2" borderId="13" xfId="2" applyNumberFormat="1" applyBorder="1" applyAlignment="1">
      <alignment horizontal="center"/>
    </xf>
    <xf numFmtId="168" fontId="1" fillId="2" borderId="14" xfId="2" applyNumberFormat="1" applyBorder="1" applyAlignment="1">
      <alignment horizontal="center"/>
    </xf>
    <xf numFmtId="169" fontId="0" fillId="0" borderId="0" xfId="1" applyNumberFormat="1" applyFont="1"/>
    <xf numFmtId="167" fontId="1" fillId="2" borderId="13" xfId="2" applyNumberFormat="1" applyBorder="1" applyAlignment="1">
      <alignment horizontal="center"/>
    </xf>
    <xf numFmtId="167" fontId="1" fillId="2" borderId="14" xfId="2" applyNumberFormat="1" applyBorder="1" applyAlignment="1">
      <alignment horizontal="center"/>
    </xf>
    <xf numFmtId="167" fontId="2" fillId="0" borderId="0" xfId="0" applyNumberFormat="1" applyFont="1"/>
    <xf numFmtId="0" fontId="0" fillId="0" borderId="0" xfId="1" applyNumberFormat="1" applyFont="1"/>
    <xf numFmtId="170" fontId="0" fillId="0" borderId="0" xfId="0" applyNumberFormat="1"/>
    <xf numFmtId="2" fontId="19" fillId="6" borderId="15" xfId="1" applyNumberFormat="1" applyFont="1" applyFill="1" applyBorder="1"/>
    <xf numFmtId="2" fontId="19" fillId="5" borderId="15" xfId="1" applyNumberFormat="1" applyFont="1" applyFill="1" applyBorder="1"/>
    <xf numFmtId="0" fontId="19" fillId="5" borderId="15" xfId="1" applyNumberFormat="1" applyFont="1" applyFill="1" applyBorder="1"/>
    <xf numFmtId="166" fontId="0" fillId="0" borderId="0" xfId="0" applyNumberFormat="1"/>
    <xf numFmtId="168" fontId="0" fillId="0" borderId="0" xfId="1" applyNumberFormat="1" applyFont="1"/>
    <xf numFmtId="2" fontId="2" fillId="0" borderId="0" xfId="0" applyNumberFormat="1" applyFont="1"/>
    <xf numFmtId="164" fontId="20" fillId="0" borderId="0" xfId="1" applyNumberFormat="1" applyFont="1"/>
    <xf numFmtId="2" fontId="4" fillId="0" borderId="1" xfId="0" applyNumberFormat="1" applyFont="1" applyBorder="1"/>
    <xf numFmtId="0" fontId="6" fillId="0" borderId="0" xfId="0" applyFont="1"/>
    <xf numFmtId="0" fontId="7" fillId="0" borderId="0" xfId="0" applyFont="1"/>
    <xf numFmtId="0" fontId="5" fillId="0" borderId="2" xfId="0" applyFont="1" applyBorder="1"/>
    <xf numFmtId="0" fontId="18" fillId="4" borderId="2" xfId="0" applyFont="1" applyFill="1" applyBorder="1" applyAlignment="1">
      <alignment horizontal="center"/>
    </xf>
    <xf numFmtId="0" fontId="0" fillId="0" borderId="0" xfId="1" applyNumberFormat="1" applyFont="1" applyAlignment="1">
      <alignment horizontal="center" vertical="center"/>
    </xf>
    <xf numFmtId="10" fontId="0" fillId="0" borderId="0" xfId="1" applyNumberFormat="1" applyFont="1" applyAlignment="1">
      <alignment horizontal="center" vertical="center"/>
    </xf>
    <xf numFmtId="0" fontId="0" fillId="0" borderId="0" xfId="0" pivotButton="1" applyAlignment="1">
      <alignment horizontal="center" vertical="center"/>
    </xf>
    <xf numFmtId="0" fontId="0" fillId="0" borderId="0" xfId="0" applyAlignment="1">
      <alignment horizontal="center" vertical="center"/>
    </xf>
    <xf numFmtId="10" fontId="0" fillId="0" borderId="0" xfId="0" applyNumberFormat="1" applyAlignment="1">
      <alignment horizontal="center" vertical="center"/>
    </xf>
    <xf numFmtId="0" fontId="18" fillId="4" borderId="0" xfId="0" applyFont="1" applyFill="1" applyAlignment="1">
      <alignment horizontal="center"/>
    </xf>
    <xf numFmtId="0" fontId="2" fillId="0" borderId="0" xfId="0" applyFont="1"/>
  </cellXfs>
  <cellStyles count="4">
    <cellStyle name="20% - Accent1" xfId="2" builtinId="30"/>
    <cellStyle name="40% - Accent1" xfId="3" builtinId="31"/>
    <cellStyle name="Normal" xfId="0" builtinId="0"/>
    <cellStyle name="Percent" xfId="1" builtinId="5"/>
  </cellStyles>
  <dxfs count="57">
    <dxf>
      <font>
        <b val="0"/>
        <i val="0"/>
        <strike val="0"/>
        <condense val="0"/>
        <extend val="0"/>
        <outline val="0"/>
        <shadow val="0"/>
        <u val="none"/>
        <vertAlign val="baseline"/>
        <sz val="10"/>
        <color auto="1"/>
        <name val="Arial"/>
        <scheme val="none"/>
      </font>
    </dxf>
    <dxf>
      <numFmt numFmtId="0" formatCode="Genera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66" formatCode="0.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66" formatCode="0.000"/>
    </dxf>
    <dxf>
      <numFmt numFmtId="167" formatCode="0.0000"/>
    </dxf>
    <dxf>
      <numFmt numFmtId="167" formatCode="0.0000"/>
      <fill>
        <patternFill patternType="none">
          <fgColor indexed="64"/>
          <bgColor indexed="65"/>
        </patternFill>
      </fill>
      <alignment horizontal="right" vertical="bottom" textRotation="0" wrapText="0" indent="0" justifyLastLine="0" shrinkToFit="0" readingOrder="0"/>
    </dxf>
    <dxf>
      <alignment horizontal="right" vertical="bottom" textRotation="0" wrapText="0" indent="0" justifyLastLine="0" shrinkToFit="0" readingOrder="0"/>
    </dxf>
    <dxf>
      <numFmt numFmtId="2" formatCode="0.00"/>
      <alignment horizontal="right" vertical="bottom" textRotation="0" wrapText="0" indent="0" justifyLastLine="0" shrinkToFit="0" readingOrder="0"/>
    </dxf>
    <dxf>
      <alignment horizontal="right" vertical="bottom" textRotation="0" wrapText="0" indent="0" justifyLastLine="0" shrinkToFit="0" readingOrder="0"/>
    </dxf>
    <dxf>
      <numFmt numFmtId="2" formatCode="0.00"/>
      <alignment horizontal="right" vertical="bottom" textRotation="0" wrapText="0" indent="0" justifyLastLine="0" shrinkToFit="0" readingOrder="0"/>
    </dxf>
    <dxf>
      <alignment horizontal="right" vertical="bottom" textRotation="0" wrapText="0" indent="0" justifyLastLine="0" shrinkToFit="0" readingOrder="0"/>
    </dxf>
    <dxf>
      <numFmt numFmtId="2" formatCode="0.00"/>
      <alignment horizontal="right" vertical="bottom" textRotation="0" wrapText="0" indent="0" justifyLastLine="0" shrinkToFit="0" readingOrder="0"/>
    </dxf>
    <dxf>
      <alignment horizontal="right" vertical="bottom" textRotation="0" wrapText="0" indent="0" justifyLastLine="0" shrinkToFit="0" readingOrder="0"/>
    </dxf>
    <dxf>
      <numFmt numFmtId="2" formatCode="0.00"/>
      <alignment horizontal="right" vertical="bottom" textRotation="0" wrapText="0" indent="0" justifyLastLine="0" shrinkToFit="0" readingOrder="0"/>
    </dxf>
    <dxf>
      <alignment horizontal="right" vertical="bottom" textRotation="0" wrapText="0" indent="0" justifyLastLine="0" shrinkToFit="0" readingOrder="0"/>
    </dxf>
    <dxf>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7" formatCode="0.0000"/>
    </dxf>
    <dxf>
      <font>
        <b val="0"/>
        <i val="0"/>
        <strike val="0"/>
        <condense val="0"/>
        <extend val="0"/>
        <outline val="0"/>
        <shadow val="0"/>
        <u val="none"/>
        <vertAlign val="baseline"/>
        <sz val="10"/>
        <color auto="1"/>
        <name val="Inherit"/>
        <scheme val="none"/>
      </font>
    </dxf>
    <dxf>
      <font>
        <b val="0"/>
        <i val="0"/>
        <strike val="0"/>
        <condense val="0"/>
        <extend val="0"/>
        <outline val="0"/>
        <shadow val="0"/>
        <u val="none"/>
        <vertAlign val="baseline"/>
        <sz val="10"/>
        <color auto="1"/>
        <name val="Inherit"/>
        <scheme val="none"/>
      </font>
      <numFmt numFmtId="167" formatCode="0.0000"/>
    </dxf>
    <dxf>
      <alignment horizontal="right" vertical="bottom" textRotation="0" wrapText="0" indent="0" justifyLastLine="0" shrinkToFit="0" readingOrder="0"/>
    </dxf>
    <dxf>
      <numFmt numFmtId="2" formatCode="0.00"/>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alignment horizontal="right" vertical="bottom" textRotation="0" wrapText="0" indent="0" justifyLastLine="0" shrinkToFit="0" readingOrder="0"/>
    </dxf>
    <dxf>
      <alignment horizontal="right" vertical="bottom" textRotation="0" wrapText="0" indent="0" justifyLastLine="0" shrinkToFit="0" readingOrder="0"/>
    </dxf>
    <dxf>
      <numFmt numFmtId="2" formatCode="0.00"/>
      <alignment horizontal="right" vertical="bottom" textRotation="0" wrapText="0" indent="0" justifyLastLine="0" shrinkToFit="0" readingOrder="0"/>
    </dxf>
    <dxf>
      <numFmt numFmtId="2" formatCode="0.00"/>
    </dxf>
    <dxf>
      <numFmt numFmtId="0" formatCode="General"/>
    </dxf>
    <dxf>
      <numFmt numFmtId="165" formatCode="[$-409]mmm\-yy;@"/>
    </dxf>
    <dxf>
      <border outline="0">
        <bottom style="medium">
          <color indexed="64"/>
        </bottom>
      </border>
    </dxf>
    <dxf>
      <font>
        <b/>
        <i val="0"/>
        <strike val="0"/>
        <condense val="0"/>
        <extend val="0"/>
        <outline val="0"/>
        <shadow val="0"/>
        <u val="none"/>
        <vertAlign val="baseline"/>
        <sz val="10"/>
        <color auto="1"/>
        <name val="Arial"/>
        <scheme val="none"/>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E0D3B0"/>
      <rgbColor rgb="00993300"/>
      <rgbColor rgb="00993366"/>
      <rgbColor rgb="00333399"/>
      <rgbColor rgb="00333333"/>
    </indexedColors>
    <mruColors>
      <color rgb="FF006489"/>
      <color rgb="FF5CA2BB"/>
      <color rgb="FF0000FF"/>
      <color rgb="FFFF9900"/>
      <color rgb="FFFFC000"/>
      <color rgb="FFFF7D00"/>
      <color rgb="FF8EB4E3"/>
      <color rgb="FF37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alcChain" Target="calcChain.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[GTRFigure9.xlsx]GTR Figure!PivotTable4</c:name>
    <c:fmtId val="29"/>
  </c:pivotSource>
  <c:chart>
    <c:autoTitleDeleted val="0"/>
    <c:pivotFmts>
      <c:pivotFmt>
        <c:idx val="0"/>
        <c:spPr>
          <a:solidFill>
            <a:srgbClr val="FF9900"/>
          </a:solidFill>
          <a:ln w="38100">
            <a:noFill/>
          </a:ln>
          <a:effectLst/>
        </c:spPr>
        <c:marker>
          <c:symbol val="none"/>
        </c:marker>
      </c:pivotFmt>
      <c:pivotFmt>
        <c:idx val="1"/>
        <c:spPr>
          <a:solidFill>
            <a:schemeClr val="accent1"/>
          </a:solidFill>
          <a:ln w="25400">
            <a:noFill/>
          </a:ln>
          <a:effectLst/>
        </c:spPr>
        <c:marker>
          <c:symbol val="none"/>
        </c:marker>
      </c:pivotFmt>
      <c:pivotFmt>
        <c:idx val="2"/>
        <c:spPr>
          <a:solidFill>
            <a:schemeClr val="accent1"/>
          </a:solidFill>
          <a:ln w="31750" cap="rnd">
            <a:solidFill>
              <a:srgbClr val="00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99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F99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31750" cap="rnd">
            <a:solidFill>
              <a:srgbClr val="00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5">
              <a:lumMod val="60000"/>
              <a:lumOff val="40000"/>
            </a:schemeClr>
          </a:solidFill>
          <a:ln>
            <a:solidFill>
              <a:schemeClr val="tx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31750" cap="rnd">
            <a:solidFill>
              <a:schemeClr val="accent5">
                <a:lumMod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lumMod val="60000"/>
              <a:lumOff val="40000"/>
            </a:schemeClr>
          </a:solidFill>
          <a:ln>
            <a:solidFill>
              <a:schemeClr val="tx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ln w="31750" cap="rnd">
            <a:solidFill>
              <a:srgbClr val="006489"/>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4667204434281353"/>
          <c:y val="6.1355794094903916E-2"/>
          <c:w val="0.82920186117980799"/>
          <c:h val="0.67767205996738433"/>
        </c:manualLayout>
      </c:layout>
      <c:barChart>
        <c:barDir val="col"/>
        <c:grouping val="clustered"/>
        <c:varyColors val="0"/>
        <c:ser>
          <c:idx val="1"/>
          <c:order val="1"/>
          <c:tx>
            <c:strRef>
              <c:f>'GTR Figure'!$U$3</c:f>
              <c:strCache>
                <c:ptCount val="1"/>
                <c:pt idx="0">
                  <c:v>3-year monthly average </c:v>
                </c:pt>
              </c:strCache>
            </c:strRef>
          </c:tx>
          <c:spPr>
            <a:solidFill>
              <a:schemeClr val="accent5">
                <a:lumMod val="60000"/>
                <a:lumOff val="40000"/>
              </a:schemeClr>
            </a:solidFill>
            <a:ln>
              <a:solidFill>
                <a:schemeClr val="tx1"/>
              </a:solidFill>
            </a:ln>
            <a:effectLst/>
          </c:spPr>
          <c:invertIfNegative val="0"/>
          <c:cat>
            <c:strRef>
              <c:f>'GTR Figure'!$S$4:$S$29</c:f>
              <c:strCache>
                <c:ptCount val="25"/>
                <c:pt idx="0">
                  <c:v>Jul-24</c:v>
                </c:pt>
                <c:pt idx="1">
                  <c:v>Aug-24</c:v>
                </c:pt>
                <c:pt idx="2">
                  <c:v>Sep-24</c:v>
                </c:pt>
                <c:pt idx="3">
                  <c:v>Oct-24</c:v>
                </c:pt>
                <c:pt idx="4">
                  <c:v>Nov-24</c:v>
                </c:pt>
                <c:pt idx="5">
                  <c:v>Dec-24</c:v>
                </c:pt>
                <c:pt idx="6">
                  <c:v>Jan-25</c:v>
                </c:pt>
                <c:pt idx="7">
                  <c:v>Feb-25</c:v>
                </c:pt>
                <c:pt idx="8">
                  <c:v>Mar-25</c:v>
                </c:pt>
                <c:pt idx="9">
                  <c:v>Apr-25</c:v>
                </c:pt>
                <c:pt idx="10">
                  <c:v>May-25</c:v>
                </c:pt>
                <c:pt idx="11">
                  <c:v>Jun-25</c:v>
                </c:pt>
                <c:pt idx="12">
                  <c:v>Jul-25</c:v>
                </c:pt>
                <c:pt idx="13">
                  <c:v>Aug-25</c:v>
                </c:pt>
                <c:pt idx="14">
                  <c:v>Sep-25</c:v>
                </c:pt>
                <c:pt idx="15">
                  <c:v>Oct-25</c:v>
                </c:pt>
                <c:pt idx="16">
                  <c:v>Nov-25</c:v>
                </c:pt>
                <c:pt idx="17">
                  <c:v>Dec-25</c:v>
                </c:pt>
                <c:pt idx="18">
                  <c:v>Jan-26</c:v>
                </c:pt>
                <c:pt idx="19">
                  <c:v>Feb-26</c:v>
                </c:pt>
                <c:pt idx="20">
                  <c:v>Mar-26</c:v>
                </c:pt>
                <c:pt idx="21">
                  <c:v>Apr-26</c:v>
                </c:pt>
                <c:pt idx="22">
                  <c:v>May-26</c:v>
                </c:pt>
                <c:pt idx="23">
                  <c:v>Jun-26</c:v>
                </c:pt>
                <c:pt idx="24">
                  <c:v>Jul-26</c:v>
                </c:pt>
              </c:strCache>
            </c:strRef>
          </c:cat>
          <c:val>
            <c:numRef>
              <c:f>'GTR Figure'!$U$4:$U$29</c:f>
              <c:numCache>
                <c:formatCode>General</c:formatCode>
                <c:ptCount val="25"/>
                <c:pt idx="0">
                  <c:v>0.28551128378130597</c:v>
                </c:pt>
                <c:pt idx="1">
                  <c:v>0.2900073134798678</c:v>
                </c:pt>
                <c:pt idx="2">
                  <c:v>0.27800562895028708</c:v>
                </c:pt>
                <c:pt idx="3">
                  <c:v>0.28379346863302801</c:v>
                </c:pt>
                <c:pt idx="4">
                  <c:v>0.29427402892354143</c:v>
                </c:pt>
                <c:pt idx="5">
                  <c:v>0.31320937158764517</c:v>
                </c:pt>
                <c:pt idx="6">
                  <c:v>0.31257942428629826</c:v>
                </c:pt>
                <c:pt idx="7">
                  <c:v>0.25645478889000878</c:v>
                </c:pt>
                <c:pt idx="8">
                  <c:v>0.24977907832445093</c:v>
                </c:pt>
                <c:pt idx="9">
                  <c:v>0.27201688207603936</c:v>
                </c:pt>
                <c:pt idx="10">
                  <c:v>0.3254483168515579</c:v>
                </c:pt>
                <c:pt idx="11">
                  <c:v>0.31706145254917112</c:v>
                </c:pt>
                <c:pt idx="12">
                  <c:v>0.32326531431567868</c:v>
                </c:pt>
                <c:pt idx="13">
                  <c:v>0.32018085426598897</c:v>
                </c:pt>
                <c:pt idx="14">
                  <c:v>0.31296150829385394</c:v>
                </c:pt>
                <c:pt idx="15">
                  <c:v>0.3102547600455689</c:v>
                </c:pt>
                <c:pt idx="16">
                  <c:v>0.30966273146105266</c:v>
                </c:pt>
                <c:pt idx="17">
                  <c:v>0.32254817851875489</c:v>
                </c:pt>
                <c:pt idx="18">
                  <c:v>0.29341205679829535</c:v>
                </c:pt>
                <c:pt idx="19">
                  <c:v>0.24154957582669068</c:v>
                </c:pt>
                <c:pt idx="20">
                  <c:v>0.23552698371981026</c:v>
                </c:pt>
                <c:pt idx="21">
                  <c:v>0.23685589891263967</c:v>
                </c:pt>
                <c:pt idx="22">
                  <c:v>0.21934111673781564</c:v>
                </c:pt>
                <c:pt idx="23">
                  <c:v>0.2068555259199861</c:v>
                </c:pt>
                <c:pt idx="24">
                  <c:v>0.18729729436937878</c:v>
                </c:pt>
              </c:numCache>
            </c:numRef>
          </c:val>
          <c:extLst>
            <c:ext xmlns:c16="http://schemas.microsoft.com/office/drawing/2014/chart" uri="{C3380CC4-5D6E-409C-BE32-E72D297353CC}">
              <c16:uniqueId val="{00000000-A51F-403A-872C-72244814EF60}"/>
            </c:ext>
          </c:extLst>
        </c:ser>
        <c:dLbls>
          <c:showLegendKey val="0"/>
          <c:showVal val="0"/>
          <c:showCatName val="0"/>
          <c:showSerName val="0"/>
          <c:showPercent val="0"/>
          <c:showBubbleSize val="0"/>
        </c:dLbls>
        <c:gapWidth val="75"/>
        <c:axId val="273431392"/>
        <c:axId val="273431952"/>
      </c:barChart>
      <c:lineChart>
        <c:grouping val="standard"/>
        <c:varyColors val="0"/>
        <c:ser>
          <c:idx val="0"/>
          <c:order val="0"/>
          <c:tx>
            <c:strRef>
              <c:f>'GTR Figure'!$T$3</c:f>
              <c:strCache>
                <c:ptCount val="1"/>
                <c:pt idx="0">
                  <c:v>Fuel surcharge ($/mile/railcar) </c:v>
                </c:pt>
              </c:strCache>
            </c:strRef>
          </c:tx>
          <c:spPr>
            <a:ln w="31750" cap="rnd">
              <a:solidFill>
                <a:srgbClr val="006489"/>
              </a:solidFill>
              <a:round/>
            </a:ln>
            <a:effectLst/>
          </c:spPr>
          <c:marker>
            <c:symbol val="none"/>
          </c:marker>
          <c:cat>
            <c:strRef>
              <c:f>'GTR Figure'!$S$4:$S$29</c:f>
              <c:strCache>
                <c:ptCount val="25"/>
                <c:pt idx="0">
                  <c:v>Jul-24</c:v>
                </c:pt>
                <c:pt idx="1">
                  <c:v>Aug-24</c:v>
                </c:pt>
                <c:pt idx="2">
                  <c:v>Sep-24</c:v>
                </c:pt>
                <c:pt idx="3">
                  <c:v>Oct-24</c:v>
                </c:pt>
                <c:pt idx="4">
                  <c:v>Nov-24</c:v>
                </c:pt>
                <c:pt idx="5">
                  <c:v>Dec-24</c:v>
                </c:pt>
                <c:pt idx="6">
                  <c:v>Jan-25</c:v>
                </c:pt>
                <c:pt idx="7">
                  <c:v>Feb-25</c:v>
                </c:pt>
                <c:pt idx="8">
                  <c:v>Mar-25</c:v>
                </c:pt>
                <c:pt idx="9">
                  <c:v>Apr-25</c:v>
                </c:pt>
                <c:pt idx="10">
                  <c:v>May-25</c:v>
                </c:pt>
                <c:pt idx="11">
                  <c:v>Jun-25</c:v>
                </c:pt>
                <c:pt idx="12">
                  <c:v>Jul-25</c:v>
                </c:pt>
                <c:pt idx="13">
                  <c:v>Aug-25</c:v>
                </c:pt>
                <c:pt idx="14">
                  <c:v>Sep-25</c:v>
                </c:pt>
                <c:pt idx="15">
                  <c:v>Oct-25</c:v>
                </c:pt>
                <c:pt idx="16">
                  <c:v>Nov-25</c:v>
                </c:pt>
                <c:pt idx="17">
                  <c:v>Dec-25</c:v>
                </c:pt>
                <c:pt idx="18">
                  <c:v>Jan-26</c:v>
                </c:pt>
                <c:pt idx="19">
                  <c:v>Feb-26</c:v>
                </c:pt>
                <c:pt idx="20">
                  <c:v>Mar-26</c:v>
                </c:pt>
                <c:pt idx="21">
                  <c:v>Apr-26</c:v>
                </c:pt>
                <c:pt idx="22">
                  <c:v>May-26</c:v>
                </c:pt>
                <c:pt idx="23">
                  <c:v>Jun-26</c:v>
                </c:pt>
                <c:pt idx="24">
                  <c:v>Jul-26</c:v>
                </c:pt>
              </c:strCache>
            </c:strRef>
          </c:cat>
          <c:val>
            <c:numRef>
              <c:f>'GTR Figure'!$T$4:$T$29</c:f>
              <c:numCache>
                <c:formatCode>General</c:formatCode>
                <c:ptCount val="25"/>
                <c:pt idx="0">
                  <c:v>0.20042805863374394</c:v>
                </c:pt>
                <c:pt idx="1">
                  <c:v>0.18193521294322956</c:v>
                </c:pt>
                <c:pt idx="2">
                  <c:v>0.19988323044983788</c:v>
                </c:pt>
                <c:pt idx="3">
                  <c:v>0.17770407371369368</c:v>
                </c:pt>
                <c:pt idx="4">
                  <c:v>0.15051035229882567</c:v>
                </c:pt>
                <c:pt idx="5">
                  <c:v>0.15497829007236641</c:v>
                </c:pt>
                <c:pt idx="6">
                  <c:v>0.12598614434761815</c:v>
                </c:pt>
                <c:pt idx="7">
                  <c:v>0.12381468584786162</c:v>
                </c:pt>
                <c:pt idx="8">
                  <c:v>0.14686455995827363</c:v>
                </c:pt>
                <c:pt idx="9">
                  <c:v>0.15386153791503276</c:v>
                </c:pt>
                <c:pt idx="10">
                  <c:v>0.13885401919621274</c:v>
                </c:pt>
                <c:pt idx="11">
                  <c:v>0.13356230105026401</c:v>
                </c:pt>
                <c:pt idx="12">
                  <c:v>0.14081762124995451</c:v>
                </c:pt>
                <c:pt idx="13">
                  <c:v>0.16012615384348797</c:v>
                </c:pt>
                <c:pt idx="14">
                  <c:v>0.19428898028567321</c:v>
                </c:pt>
                <c:pt idx="15">
                  <c:v>0.18585248564789386</c:v>
                </c:pt>
                <c:pt idx="16">
                  <c:v>0.18549049893171465</c:v>
                </c:pt>
                <c:pt idx="17">
                  <c:v>0.17756955378075978</c:v>
                </c:pt>
                <c:pt idx="18">
                  <c:v>0.22601721275782632</c:v>
                </c:pt>
                <c:pt idx="19">
                  <c:v>0.18716728560076723</c:v>
                </c:pt>
                <c:pt idx="20">
                  <c:v>0.17280473101244256</c:v>
                </c:pt>
                <c:pt idx="21">
                  <c:v>0.22813265137228489</c:v>
                </c:pt>
                <c:pt idx="22">
                  <c:v>0.45820077594345088</c:v>
                </c:pt>
                <c:pt idx="23">
                  <c:v>0.59324595913314582</c:v>
                </c:pt>
                <c:pt idx="24">
                  <c:v>0.60611246745960567</c:v>
                </c:pt>
              </c:numCache>
            </c:numRef>
          </c:val>
          <c:smooth val="0"/>
          <c:extLst>
            <c:ext xmlns:c16="http://schemas.microsoft.com/office/drawing/2014/chart" uri="{C3380CC4-5D6E-409C-BE32-E72D297353CC}">
              <c16:uniqueId val="{00000001-A51F-403A-872C-72244814EF60}"/>
            </c:ext>
          </c:extLst>
        </c:ser>
        <c:dLbls>
          <c:showLegendKey val="0"/>
          <c:showVal val="0"/>
          <c:showCatName val="0"/>
          <c:showSerName val="0"/>
          <c:showPercent val="0"/>
          <c:showBubbleSize val="0"/>
        </c:dLbls>
        <c:marker val="1"/>
        <c:smooth val="0"/>
        <c:axId val="273431392"/>
        <c:axId val="273431952"/>
      </c:lineChart>
      <c:dateAx>
        <c:axId val="273431392"/>
        <c:scaling>
          <c:orientation val="minMax"/>
        </c:scaling>
        <c:delete val="0"/>
        <c:axPos val="b"/>
        <c:numFmt formatCode="General" sourceLinked="1"/>
        <c:majorTickMark val="cross"/>
        <c:minorTickMark val="none"/>
        <c:tickLblPos val="low"/>
        <c:spPr>
          <a:noFill/>
          <a:ln w="9525" cap="flat" cmpd="sng" algn="ctr">
            <a:solidFill>
              <a:sysClr val="windowText" lastClr="000000"/>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Times New Roman" panose="02020603050405020304" pitchFamily="18" charset="0"/>
              </a:defRPr>
            </a:pPr>
            <a:endParaRPr lang="en-US"/>
          </a:p>
        </c:txPr>
        <c:crossAx val="273431952"/>
        <c:crosses val="autoZero"/>
        <c:auto val="0"/>
        <c:lblOffset val="0"/>
        <c:baseTimeUnit val="days"/>
      </c:dateAx>
      <c:valAx>
        <c:axId val="273431952"/>
        <c:scaling>
          <c:orientation val="minMax"/>
          <c:max val="0.65000000000000013"/>
          <c:min val="0"/>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Times New Roman" panose="02020603050405020304" pitchFamily="18" charset="0"/>
                  </a:defRPr>
                </a:pPr>
                <a:r>
                  <a:rPr lang="en-US" sz="1400" b="1" i="0" baseline="0">
                    <a:effectLst/>
                    <a:latin typeface="+mn-lt"/>
                  </a:rPr>
                  <a:t>Dollars per railcar mile</a:t>
                </a:r>
                <a:endParaRPr lang="en-US" sz="1400" b="1">
                  <a:effectLst/>
                  <a:latin typeface="+mn-lt"/>
                </a:endParaRPr>
              </a:p>
              <a:p>
                <a:pPr marL="0" marR="0" lvl="0" indent="0" algn="ctr" defTabSz="914400" rtl="0" eaLnBrk="1" fontAlgn="auto" latinLnBrk="0" hangingPunct="1">
                  <a:lnSpc>
                    <a:spcPct val="100000"/>
                  </a:lnSpc>
                  <a:spcBef>
                    <a:spcPts val="0"/>
                  </a:spcBef>
                  <a:spcAft>
                    <a:spcPts val="0"/>
                  </a:spcAft>
                  <a:buClrTx/>
                  <a:buSzTx/>
                  <a:buFontTx/>
                  <a:buNone/>
                  <a:tabLst/>
                  <a:defRPr sz="1400" b="1">
                    <a:solidFill>
                      <a:sysClr val="windowText" lastClr="000000"/>
                    </a:solidFill>
                    <a:cs typeface="Times New Roman" panose="02020603050405020304" pitchFamily="18" charset="0"/>
                  </a:defRPr>
                </a:pPr>
                <a:endParaRPr lang="en-US" sz="1400" b="1"/>
              </a:p>
            </c:rich>
          </c:tx>
          <c:layout>
            <c:manualLayout>
              <c:xMode val="edge"/>
              <c:yMode val="edge"/>
              <c:x val="1.2006329345221797E-2"/>
              <c:y val="0.10275394702505219"/>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Times New Roman" panose="02020603050405020304" pitchFamily="18" charset="0"/>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Times New Roman" panose="02020603050405020304" pitchFamily="18" charset="0"/>
              </a:defRPr>
            </a:pPr>
            <a:endParaRPr lang="en-US"/>
          </a:p>
        </c:txPr>
        <c:crossAx val="273431392"/>
        <c:crosses val="autoZero"/>
        <c:crossBetween val="between"/>
      </c:valAx>
      <c:spPr>
        <a:noFill/>
        <a:ln>
          <a:solidFill>
            <a:schemeClr val="tx1"/>
          </a:solidFill>
        </a:ln>
        <a:effectLst/>
      </c:spPr>
    </c:plotArea>
    <c:legend>
      <c:legendPos val="r"/>
      <c:layout>
        <c:manualLayout>
          <c:xMode val="edge"/>
          <c:yMode val="edge"/>
          <c:x val="0.15824949878792269"/>
          <c:y val="7.8314560106516301E-2"/>
          <c:w val="0.43417237092187433"/>
          <c:h val="0.19216507372129435"/>
        </c:manualLayout>
      </c:layout>
      <c:overlay val="0"/>
      <c:spPr>
        <a:solidFill>
          <a:schemeClr val="bg1">
            <a:lumMod val="95000"/>
          </a:schemeClr>
        </a:solidFill>
        <a:ln>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342900</xdr:colOff>
      <xdr:row>13</xdr:row>
      <xdr:rowOff>22860</xdr:rowOff>
    </xdr:from>
    <xdr:to>
      <xdr:col>7</xdr:col>
      <xdr:colOff>495300</xdr:colOff>
      <xdr:row>14</xdr:row>
      <xdr:rowOff>106680</xdr:rowOff>
    </xdr:to>
    <xdr:sp macro="" textlink="">
      <xdr:nvSpPr>
        <xdr:cNvPr id="2" name="Text Box 1">
          <a:extLst>
            <a:ext uri="{FF2B5EF4-FFF2-40B4-BE49-F238E27FC236}">
              <a16:creationId xmlns:a16="http://schemas.microsoft.com/office/drawing/2014/main" id="{8EA08A51-EB6D-458C-9F22-76437E10592C}"/>
            </a:ext>
          </a:extLst>
        </xdr:cNvPr>
        <xdr:cNvSpPr txBox="1">
          <a:spLocks noChangeArrowheads="1"/>
        </xdr:cNvSpPr>
      </xdr:nvSpPr>
      <xdr:spPr bwMode="auto">
        <a:xfrm>
          <a:off x="3390900" y="2337435"/>
          <a:ext cx="1371600" cy="245745"/>
        </a:xfrm>
        <a:prstGeom prst="rect">
          <a:avLst/>
        </a:prstGeom>
        <a:solidFill>
          <a:srgbClr val="FFFFFF"/>
        </a:solidFill>
        <a:ln w="9525">
          <a:noFill/>
          <a:miter lim="800000"/>
          <a:headEnd/>
          <a:tailEnd/>
        </a:ln>
      </xdr:spPr>
    </xdr:sp>
    <xdr:clientData/>
  </xdr:twoCellAnchor>
  <xdr:twoCellAnchor editAs="absolute">
    <xdr:from>
      <xdr:col>0</xdr:col>
      <xdr:colOff>60959</xdr:colOff>
      <xdr:row>2</xdr:row>
      <xdr:rowOff>130700</xdr:rowOff>
    </xdr:from>
    <xdr:to>
      <xdr:col>10</xdr:col>
      <xdr:colOff>0</xdr:colOff>
      <xdr:row>16</xdr:row>
      <xdr:rowOff>135255</xdr:rowOff>
    </xdr:to>
    <xdr:graphicFrame macro="">
      <xdr:nvGraphicFramePr>
        <xdr:cNvPr id="3" name="Chart 2">
          <a:extLst>
            <a:ext uri="{FF2B5EF4-FFF2-40B4-BE49-F238E27FC236}">
              <a16:creationId xmlns:a16="http://schemas.microsoft.com/office/drawing/2014/main" id="{AEE9B823-78B0-4222-B990-BC710E06FED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sse Gastelle - MRP-AMS" refreshedDate="45978.49492326389" backgroundQuery="1" createdVersion="8" refreshedVersion="8" minRefreshableVersion="3" recordCount="64" xr:uid="{E0A705E6-1D0E-41C8-B855-CB9EF1F2A4E9}">
  <cacheSource type="external" connectionId="1"/>
  <cacheFields count="3">
    <cacheField name="year" numFmtId="0">
      <sharedItems containsSemiMixedTypes="0" containsString="0" containsNumber="1" containsInteger="1" minValue="2017" maxValue="2025" count="9">
        <n v="2022"/>
        <n v="2025"/>
        <n v="2017"/>
        <n v="2021"/>
        <n v="2020"/>
        <n v="2018"/>
        <n v="2024"/>
        <n v="2019"/>
        <n v="2023"/>
      </sharedItems>
    </cacheField>
    <cacheField name="railroad" numFmtId="0">
      <sharedItems count="8">
        <s v="CSX"/>
        <s v="BNSF"/>
        <s v="KCS"/>
        <s v="UP"/>
        <s v="CP"/>
        <s v="CN"/>
        <s v="NS"/>
        <s v="CPKC"/>
      </sharedItems>
    </cacheField>
    <cacheField name="sum_carloads" numFmtId="0">
      <sharedItems containsSemiMixedTypes="0" containsString="0" containsNumber="1" containsInteger="1" minValue="12028" maxValue="63545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sse Gastelle - MRP-AMS" refreshedDate="46203.388285185189" createdVersion="5" refreshedVersion="8" minRefreshableVersion="3" recordCount="307" xr:uid="{00000000-000A-0000-FFFF-FFFF0C000000}">
  <cacheSource type="worksheet">
    <worksheetSource name="data"/>
  </cacheSource>
  <cacheFields count="20">
    <cacheField name="Date" numFmtId="165">
      <sharedItems containsSemiMixedTypes="0" containsNonDate="0" containsDate="1" containsString="0" minDate="2001-01-01T00:00:00" maxDate="2026-07-16T00:00:00" count="499">
        <d v="2001-01-15T00:00:00"/>
        <d v="2001-02-15T00:00:00"/>
        <d v="2001-03-15T00:00:00"/>
        <d v="2001-04-15T00:00:00"/>
        <d v="2001-05-15T00:00:00"/>
        <d v="2001-06-15T00:00:00"/>
        <d v="2001-07-15T00:00:00"/>
        <d v="2001-08-15T00:00:00"/>
        <d v="2001-09-15T00:00:00"/>
        <d v="2001-10-15T00:00:00"/>
        <d v="2001-11-15T00:00:00"/>
        <d v="2001-12-15T00:00:00"/>
        <d v="2002-01-15T00:00:00"/>
        <d v="2002-02-15T00:00:00"/>
        <d v="2002-03-15T00:00:00"/>
        <d v="2002-04-15T00:00:00"/>
        <d v="2002-05-15T00:00:00"/>
        <d v="2002-06-15T00:00:00"/>
        <d v="2002-07-15T00:00:00"/>
        <d v="2002-08-15T00:00:00"/>
        <d v="2002-09-15T00:00:00"/>
        <d v="2002-10-15T00:00:00"/>
        <d v="2002-11-15T00:00:00"/>
        <d v="2002-12-15T00:00:00"/>
        <d v="2003-01-15T00:00:00"/>
        <d v="2003-02-15T00:00:00"/>
        <d v="2003-03-15T00:00:00"/>
        <d v="2003-04-15T00:00:00"/>
        <d v="2003-05-15T00:00:00"/>
        <d v="2003-06-15T00:00:00"/>
        <d v="2003-07-15T00:00:00"/>
        <d v="2003-08-15T00:00:00"/>
        <d v="2003-09-15T00:00:00"/>
        <d v="2003-10-15T00:00:00"/>
        <d v="2003-11-15T00:00:00"/>
        <d v="2003-12-15T00:00:00"/>
        <d v="2004-01-15T00:00:00"/>
        <d v="2004-02-15T00:00:00"/>
        <d v="2004-03-15T00:00:00"/>
        <d v="2004-04-15T00:00:00"/>
        <d v="2004-05-15T00:00:00"/>
        <d v="2004-06-15T00:00:00"/>
        <d v="2004-07-15T00:00:00"/>
        <d v="2004-08-15T00:00:00"/>
        <d v="2004-09-15T00:00:00"/>
        <d v="2004-10-15T00:00:00"/>
        <d v="2004-11-15T00:00:00"/>
        <d v="2004-12-15T00:00:00"/>
        <d v="2005-01-15T00:00:00"/>
        <d v="2005-02-15T00:00:00"/>
        <d v="2005-03-15T00:00:00"/>
        <d v="2005-04-15T00:00:00"/>
        <d v="2005-05-15T00:00:00"/>
        <d v="2005-06-15T00:00:00"/>
        <d v="2005-07-15T00:00:00"/>
        <d v="2005-08-15T00:00:00"/>
        <d v="2005-09-15T00:00:00"/>
        <d v="2005-10-15T00:00:00"/>
        <d v="2005-11-15T00:00:00"/>
        <d v="2005-12-15T00:00:00"/>
        <d v="2006-01-15T00:00:00"/>
        <d v="2006-02-15T00:00:00"/>
        <d v="2006-03-15T00:00:00"/>
        <d v="2006-04-15T00:00:00"/>
        <d v="2006-05-15T00:00:00"/>
        <d v="2006-06-15T00:00:00"/>
        <d v="2006-07-15T00:00:00"/>
        <d v="2006-08-15T00:00:00"/>
        <d v="2006-09-15T00:00:00"/>
        <d v="2006-10-15T00:00:00"/>
        <d v="2006-11-15T00:00:00"/>
        <d v="2006-12-15T00:00:00"/>
        <d v="2007-01-15T00:00:00"/>
        <d v="2007-02-15T00:00:00"/>
        <d v="2007-03-15T00:00:00"/>
        <d v="2007-04-15T00:00:00"/>
        <d v="2007-05-15T00:00:00"/>
        <d v="2007-06-15T00:00:00"/>
        <d v="2007-07-15T00:00:00"/>
        <d v="2007-08-15T00:00:00"/>
        <d v="2007-09-15T00:00:00"/>
        <d v="2007-10-15T00:00:00"/>
        <d v="2007-11-15T00:00:00"/>
        <d v="2007-12-15T00:00:00"/>
        <d v="2008-01-15T00:00:00"/>
        <d v="2008-02-15T00:00:00"/>
        <d v="2008-03-15T00:00:00"/>
        <d v="2008-04-15T00:00:00"/>
        <d v="2008-05-15T00:00:00"/>
        <d v="2008-06-15T00:00:00"/>
        <d v="2008-07-15T00:00:00"/>
        <d v="2008-08-15T00:00:00"/>
        <d v="2008-09-15T00:00:00"/>
        <d v="2008-10-15T00:00:00"/>
        <d v="2008-11-15T00:00:00"/>
        <d v="2008-12-15T00:00:00"/>
        <d v="2009-01-15T00:00:00"/>
        <d v="2009-02-15T00:00:00"/>
        <d v="2009-03-15T00:00:00"/>
        <d v="2009-04-15T00:00:00"/>
        <d v="2009-05-15T00:00:00"/>
        <d v="2009-06-15T00:00:00"/>
        <d v="2009-07-15T00:00:00"/>
        <d v="2009-08-15T00:00:00"/>
        <d v="2009-09-15T00:00:00"/>
        <d v="2009-10-15T00:00:00"/>
        <d v="2009-11-15T00:00:00"/>
        <d v="2009-12-15T00:00:00"/>
        <d v="2010-01-15T00:00:00"/>
        <d v="2010-02-15T00:00:00"/>
        <d v="2010-03-15T00:00:00"/>
        <d v="2010-04-15T00:00:00"/>
        <d v="2010-05-15T00:00:00"/>
        <d v="2010-06-15T00:00:00"/>
        <d v="2010-07-15T00:00:00"/>
        <d v="2010-08-15T00:00:00"/>
        <d v="2010-09-15T00:00:00"/>
        <d v="2010-10-15T00:00:00"/>
        <d v="2010-11-15T00:00:00"/>
        <d v="2010-12-15T00:00:00"/>
        <d v="2011-01-15T00:00:00"/>
        <d v="2011-02-15T00:00:00"/>
        <d v="2011-03-15T00:00:00"/>
        <d v="2011-04-15T00:00:00"/>
        <d v="2011-05-15T00:00:00"/>
        <d v="2011-06-15T00:00:00"/>
        <d v="2011-07-15T00:00:00"/>
        <d v="2011-08-15T00:00:00"/>
        <d v="2011-09-15T00:00:00"/>
        <d v="2011-10-15T00:00:00"/>
        <d v="2011-11-15T00:00:00"/>
        <d v="2011-12-15T00:00:00"/>
        <d v="2012-01-15T00:00:00"/>
        <d v="2012-02-15T00:00:00"/>
        <d v="2012-03-15T00:00:00"/>
        <d v="2012-04-15T00:00:00"/>
        <d v="2012-05-15T00:00:00"/>
        <d v="2012-06-15T00:00:00"/>
        <d v="2012-07-15T00:00:00"/>
        <d v="2012-08-15T00:00:00"/>
        <d v="2012-09-15T00:00:00"/>
        <d v="2012-10-15T00:00:00"/>
        <d v="2012-11-15T00:00:00"/>
        <d v="2012-12-15T00:00:00"/>
        <d v="2013-01-15T00:00:00"/>
        <d v="2013-02-15T00:00:00"/>
        <d v="2013-03-15T00:00:00"/>
        <d v="2013-04-15T00:00:00"/>
        <d v="2013-05-15T00:00:00"/>
        <d v="2013-06-15T00:00:00"/>
        <d v="2013-07-15T00:00:00"/>
        <d v="2013-08-15T00:00:00"/>
        <d v="2013-09-15T00:00:00"/>
        <d v="2013-10-15T00:00:00"/>
        <d v="2013-11-15T00:00:00"/>
        <d v="2013-12-15T00:00:00"/>
        <d v="2014-01-15T00:00:00"/>
        <d v="2014-02-15T00:00:00"/>
        <d v="2014-03-15T00:00:00"/>
        <d v="2014-04-15T00:00:00"/>
        <d v="2014-05-15T00:00:00"/>
        <d v="2014-06-15T00:00:00"/>
        <d v="2014-07-15T00:00:00"/>
        <d v="2014-08-15T00:00:00"/>
        <d v="2014-09-15T00:00:00"/>
        <d v="2014-10-15T00:00:00"/>
        <d v="2014-11-15T00:00:00"/>
        <d v="2014-12-15T00:00:00"/>
        <d v="2015-01-15T00:00:00"/>
        <d v="2015-02-15T00:00:00"/>
        <d v="2015-03-15T00:00:00"/>
        <d v="2015-04-15T00:00:00"/>
        <d v="2015-05-15T00:00:00"/>
        <d v="2015-06-15T00:00:00"/>
        <d v="2015-07-15T00:00:00"/>
        <d v="2015-08-15T00:00:00"/>
        <d v="2015-09-15T00:00:00"/>
        <d v="2015-10-15T00:00:00"/>
        <d v="2015-11-15T00:00:00"/>
        <d v="2015-12-15T00:00:00"/>
        <d v="2016-01-15T00:00:00"/>
        <d v="2016-02-15T00:00:00"/>
        <d v="2016-03-15T00:00:00"/>
        <d v="2016-04-15T00:00:00"/>
        <d v="2016-05-15T00:00:00"/>
        <d v="2016-06-15T00:00:00"/>
        <d v="2016-07-15T00:00:00"/>
        <d v="2016-08-15T00:00:00"/>
        <d v="2016-09-15T00:00:00"/>
        <d v="2016-10-15T00:00:00"/>
        <d v="2016-11-15T00:00:00"/>
        <d v="2016-12-15T00:00:00"/>
        <d v="2017-01-15T00:00:00"/>
        <d v="2017-02-15T00:00:00"/>
        <d v="2017-03-15T00:00:00"/>
        <d v="2017-04-15T00:00:00"/>
        <d v="2017-05-15T00:00:00"/>
        <d v="2017-06-15T00:00:00"/>
        <d v="2017-07-15T00:00:00"/>
        <d v="2017-08-15T00:00:00"/>
        <d v="2017-09-15T00:00:00"/>
        <d v="2017-10-15T00:00:00"/>
        <d v="2017-11-15T00:00:00"/>
        <d v="2017-12-15T00:00:00"/>
        <d v="2018-01-15T00:00:00"/>
        <d v="2018-02-15T00:00:00"/>
        <d v="2018-03-15T00:00:00"/>
        <d v="2018-04-15T00:00:00"/>
        <d v="2018-05-15T00:00:00"/>
        <d v="2018-06-15T00:00:00"/>
        <d v="2018-07-15T00:00:00"/>
        <d v="2018-08-15T00:00:00"/>
        <d v="2018-09-15T00:00:00"/>
        <d v="2018-10-15T00:00:00"/>
        <d v="2018-11-15T00:00:00"/>
        <d v="2018-12-15T00:00:00"/>
        <d v="2019-01-15T00:00:00"/>
        <d v="2019-02-15T00:00:00"/>
        <d v="2019-03-15T00:00:00"/>
        <d v="2019-04-15T00:00:00"/>
        <d v="2019-05-15T00:00:00"/>
        <d v="2019-06-15T00:00:00"/>
        <d v="2019-07-15T00:00:00"/>
        <d v="2019-08-15T00:00:00"/>
        <d v="2019-09-15T00:00:00"/>
        <d v="2019-10-15T00:00:00"/>
        <d v="2019-11-15T00:00:00"/>
        <d v="2019-12-15T00:00:00"/>
        <d v="2020-01-15T00:00:00"/>
        <d v="2020-02-15T00:00:00"/>
        <d v="2020-03-15T00:00:00"/>
        <d v="2020-04-15T00:00:00"/>
        <d v="2020-05-15T00:00:00"/>
        <d v="2020-06-15T00:00:00"/>
        <d v="2020-07-15T00:00:00"/>
        <d v="2020-08-15T00:00:00"/>
        <d v="2020-09-15T00:00:00"/>
        <d v="2020-10-15T00:00:00"/>
        <d v="2020-11-15T00:00:00"/>
        <d v="2020-12-15T00:00:00"/>
        <d v="2021-01-15T00:00:00"/>
        <d v="2021-02-15T00:00:00"/>
        <d v="2021-03-15T00:00:00"/>
        <d v="2021-04-15T00:00:00"/>
        <d v="2021-05-15T00:00:00"/>
        <d v="2021-06-15T00:00:00"/>
        <d v="2021-07-15T00:00:00"/>
        <d v="2021-08-15T00:00:00"/>
        <d v="2021-09-15T00:00:00"/>
        <d v="2021-10-15T00:00:00"/>
        <d v="2021-11-15T00:00:00"/>
        <d v="2021-12-15T00:00:00"/>
        <d v="2022-01-15T00:00:00"/>
        <d v="2022-02-15T00:00:00"/>
        <d v="2022-03-15T00:00:00"/>
        <d v="2022-04-15T00:00:00"/>
        <d v="2022-05-15T00:00:00"/>
        <d v="2022-06-15T00:00:00"/>
        <d v="2022-07-15T00:00:00"/>
        <d v="2022-08-15T00:00:00"/>
        <d v="2022-09-15T00:00:00"/>
        <d v="2022-10-15T00:00:00"/>
        <d v="2022-11-15T00:00:00"/>
        <d v="2022-12-15T00:00:00"/>
        <d v="2023-01-15T00:00:00"/>
        <d v="2023-02-15T00:00:00"/>
        <d v="2023-03-15T00:00:00"/>
        <d v="2023-04-15T00:00:00"/>
        <d v="2023-05-15T00:00:00"/>
        <d v="2023-06-15T00:00:00"/>
        <d v="2023-07-15T00:00:00"/>
        <d v="2023-08-15T00:00:00"/>
        <d v="2023-09-15T00:00:00"/>
        <d v="2023-10-15T00:00:00"/>
        <d v="2023-11-15T00:00:00"/>
        <d v="2023-12-15T00:00:00"/>
        <d v="2024-01-15T00:00:00"/>
        <d v="2024-02-15T00:00:00"/>
        <d v="2024-03-15T00:00:00"/>
        <d v="2024-04-15T00:00:00"/>
        <d v="2024-05-15T00:00:00"/>
        <d v="2024-06-15T00:00:00"/>
        <d v="2024-07-15T00:00:00"/>
        <d v="2024-08-15T00:00:00"/>
        <d v="2024-09-15T00:00:00"/>
        <d v="2024-10-15T00:00:00"/>
        <d v="2024-11-15T00:00:00"/>
        <d v="2024-12-15T00:00:00"/>
        <d v="2025-01-15T00:00:00"/>
        <d v="2025-02-15T00:00:00"/>
        <d v="2025-03-15T00:00:00"/>
        <d v="2025-04-15T00:00:00"/>
        <d v="2025-05-15T00:00:00"/>
        <d v="2025-06-15T00:00:00"/>
        <d v="2025-07-15T00:00:00"/>
        <d v="2025-08-15T00:00:00"/>
        <d v="2025-09-15T00:00:00"/>
        <d v="2025-10-15T00:00:00"/>
        <d v="2025-11-15T00:00:00"/>
        <d v="2025-12-15T00:00:00"/>
        <d v="2026-01-15T00:00:00"/>
        <d v="2026-02-15T00:00:00"/>
        <d v="2026-03-15T00:00:00"/>
        <d v="2026-04-15T00:00:00"/>
        <d v="2026-05-15T00:00:00"/>
        <d v="2026-06-15T00:00:00"/>
        <d v="2026-07-15T00:00:00"/>
        <d v="2016-11-16T00:00:00" u="1"/>
        <d v="2001-01-01T00:00:00" u="1"/>
        <d v="2002-01-01T00:00:00" u="1"/>
        <d v="2003-01-01T00:00:00" u="1"/>
        <d v="2004-01-01T00:00:00" u="1"/>
        <d v="2005-01-01T00:00:00" u="1"/>
        <d v="2006-01-01T00:00:00" u="1"/>
        <d v="2007-01-01T00:00:00" u="1"/>
        <d v="2008-01-01T00:00:00" u="1"/>
        <d v="2009-01-01T00:00:00" u="1"/>
        <d v="2010-01-01T00:00:00" u="1"/>
        <d v="2011-01-01T00:00:00" u="1"/>
        <d v="2012-01-01T00:00:00" u="1"/>
        <d v="2013-01-01T00:00:00" u="1"/>
        <d v="2014-01-01T00:00:00" u="1"/>
        <d v="2015-01-01T00:00:00" u="1"/>
        <d v="2016-01-01T00:00:00" u="1"/>
        <d v="2001-02-01T00:00:00" u="1"/>
        <d v="2002-02-01T00:00:00" u="1"/>
        <d v="2003-02-01T00:00:00" u="1"/>
        <d v="2004-02-01T00:00:00" u="1"/>
        <d v="2005-02-01T00:00:00" u="1"/>
        <d v="2006-02-01T00:00:00" u="1"/>
        <d v="2007-02-01T00:00:00" u="1"/>
        <d v="2008-02-01T00:00:00" u="1"/>
        <d v="2009-02-01T00:00:00" u="1"/>
        <d v="2010-02-01T00:00:00" u="1"/>
        <d v="2011-02-01T00:00:00" u="1"/>
        <d v="2012-02-01T00:00:00" u="1"/>
        <d v="2013-02-01T00:00:00" u="1"/>
        <d v="2014-02-01T00:00:00" u="1"/>
        <d v="2015-02-01T00:00:00" u="1"/>
        <d v="2016-02-01T00:00:00" u="1"/>
        <d v="2001-03-01T00:00:00" u="1"/>
        <d v="2002-03-01T00:00:00" u="1"/>
        <d v="2003-03-01T00:00:00" u="1"/>
        <d v="2004-03-01T00:00:00" u="1"/>
        <d v="2005-03-01T00:00:00" u="1"/>
        <d v="2006-03-01T00:00:00" u="1"/>
        <d v="2007-03-01T00:00:00" u="1"/>
        <d v="2008-03-01T00:00:00" u="1"/>
        <d v="2009-03-01T00:00:00" u="1"/>
        <d v="2010-03-01T00:00:00" u="1"/>
        <d v="2011-03-01T00:00:00" u="1"/>
        <d v="2012-03-01T00:00:00" u="1"/>
        <d v="2013-03-01T00:00:00" u="1"/>
        <d v="2014-03-01T00:00:00" u="1"/>
        <d v="2015-03-01T00:00:00" u="1"/>
        <d v="2016-03-01T00:00:00" u="1"/>
        <d v="2001-04-01T00:00:00" u="1"/>
        <d v="2002-04-01T00:00:00" u="1"/>
        <d v="2003-04-01T00:00:00" u="1"/>
        <d v="2004-04-01T00:00:00" u="1"/>
        <d v="2005-04-01T00:00:00" u="1"/>
        <d v="2006-04-01T00:00:00" u="1"/>
        <d v="2007-04-01T00:00:00" u="1"/>
        <d v="2008-04-01T00:00:00" u="1"/>
        <d v="2009-04-01T00:00:00" u="1"/>
        <d v="2010-04-01T00:00:00" u="1"/>
        <d v="2011-04-01T00:00:00" u="1"/>
        <d v="2012-04-01T00:00:00" u="1"/>
        <d v="2013-04-01T00:00:00" u="1"/>
        <d v="2014-04-01T00:00:00" u="1"/>
        <d v="2015-04-01T00:00:00" u="1"/>
        <d v="2016-04-01T00:00:00" u="1"/>
        <d v="2001-05-01T00:00:00" u="1"/>
        <d v="2002-05-01T00:00:00" u="1"/>
        <d v="2003-05-01T00:00:00" u="1"/>
        <d v="2004-05-01T00:00:00" u="1"/>
        <d v="2005-05-01T00:00:00" u="1"/>
        <d v="2006-05-01T00:00:00" u="1"/>
        <d v="2007-05-01T00:00:00" u="1"/>
        <d v="2008-05-01T00:00:00" u="1"/>
        <d v="2009-05-01T00:00:00" u="1"/>
        <d v="2010-05-01T00:00:00" u="1"/>
        <d v="2011-05-01T00:00:00" u="1"/>
        <d v="2012-05-01T00:00:00" u="1"/>
        <d v="2013-05-01T00:00:00" u="1"/>
        <d v="2014-05-01T00:00:00" u="1"/>
        <d v="2015-05-01T00:00:00" u="1"/>
        <d v="2016-05-01T00:00:00" u="1"/>
        <d v="2001-06-01T00:00:00" u="1"/>
        <d v="2002-06-01T00:00:00" u="1"/>
        <d v="2003-06-01T00:00:00" u="1"/>
        <d v="2004-06-01T00:00:00" u="1"/>
        <d v="2005-06-01T00:00:00" u="1"/>
        <d v="2006-06-01T00:00:00" u="1"/>
        <d v="2007-06-01T00:00:00" u="1"/>
        <d v="2008-06-01T00:00:00" u="1"/>
        <d v="2009-06-01T00:00:00" u="1"/>
        <d v="2010-06-01T00:00:00" u="1"/>
        <d v="2011-06-01T00:00:00" u="1"/>
        <d v="2012-06-01T00:00:00" u="1"/>
        <d v="2013-06-01T00:00:00" u="1"/>
        <d v="2014-06-01T00:00:00" u="1"/>
        <d v="2015-06-01T00:00:00" u="1"/>
        <d v="2016-06-01T00:00:00" u="1"/>
        <d v="2001-07-01T00:00:00" u="1"/>
        <d v="2002-07-01T00:00:00" u="1"/>
        <d v="2003-07-01T00:00:00" u="1"/>
        <d v="2004-07-01T00:00:00" u="1"/>
        <d v="2005-07-01T00:00:00" u="1"/>
        <d v="2006-07-01T00:00:00" u="1"/>
        <d v="2007-07-01T00:00:00" u="1"/>
        <d v="2008-07-01T00:00:00" u="1"/>
        <d v="2009-07-01T00:00:00" u="1"/>
        <d v="2010-07-01T00:00:00" u="1"/>
        <d v="2011-07-01T00:00:00" u="1"/>
        <d v="2012-07-01T00:00:00" u="1"/>
        <d v="2013-07-01T00:00:00" u="1"/>
        <d v="2014-07-01T00:00:00" u="1"/>
        <d v="2015-07-01T00:00:00" u="1"/>
        <d v="2016-07-01T00:00:00" u="1"/>
        <d v="2001-08-01T00:00:00" u="1"/>
        <d v="2002-08-01T00:00:00" u="1"/>
        <d v="2003-08-01T00:00:00" u="1"/>
        <d v="2004-08-01T00:00:00" u="1"/>
        <d v="2005-08-01T00:00:00" u="1"/>
        <d v="2006-08-01T00:00:00" u="1"/>
        <d v="2007-08-01T00:00:00" u="1"/>
        <d v="2008-08-01T00:00:00" u="1"/>
        <d v="2009-08-01T00:00:00" u="1"/>
        <d v="2010-08-01T00:00:00" u="1"/>
        <d v="2011-08-01T00:00:00" u="1"/>
        <d v="2012-08-01T00:00:00" u="1"/>
        <d v="2013-08-01T00:00:00" u="1"/>
        <d v="2014-08-01T00:00:00" u="1"/>
        <d v="2015-08-01T00:00:00" u="1"/>
        <d v="2016-08-01T00:00:00" u="1"/>
        <d v="2001-09-01T00:00:00" u="1"/>
        <d v="2002-09-01T00:00:00" u="1"/>
        <d v="2003-09-01T00:00:00" u="1"/>
        <d v="2004-09-01T00:00:00" u="1"/>
        <d v="2005-09-01T00:00:00" u="1"/>
        <d v="2006-09-01T00:00:00" u="1"/>
        <d v="2007-09-01T00:00:00" u="1"/>
        <d v="2008-09-01T00:00:00" u="1"/>
        <d v="2009-09-01T00:00:00" u="1"/>
        <d v="2010-09-01T00:00:00" u="1"/>
        <d v="2011-09-01T00:00:00" u="1"/>
        <d v="2012-09-01T00:00:00" u="1"/>
        <d v="2013-09-01T00:00:00" u="1"/>
        <d v="2014-09-01T00:00:00" u="1"/>
        <d v="2015-09-01T00:00:00" u="1"/>
        <d v="2016-09-01T00:00:00" u="1"/>
        <d v="2001-10-01T00:00:00" u="1"/>
        <d v="2002-10-01T00:00:00" u="1"/>
        <d v="2003-10-01T00:00:00" u="1"/>
        <d v="2004-10-01T00:00:00" u="1"/>
        <d v="2005-10-01T00:00:00" u="1"/>
        <d v="2006-10-01T00:00:00" u="1"/>
        <d v="2007-10-01T00:00:00" u="1"/>
        <d v="2008-10-01T00:00:00" u="1"/>
        <d v="2009-10-01T00:00:00" u="1"/>
        <d v="2010-10-01T00:00:00" u="1"/>
        <d v="2011-10-01T00:00:00" u="1"/>
        <d v="2012-10-01T00:00:00" u="1"/>
        <d v="2013-10-01T00:00:00" u="1"/>
        <d v="2014-10-01T00:00:00" u="1"/>
        <d v="2015-10-01T00:00:00" u="1"/>
        <d v="2016-10-01T00:00:00" u="1"/>
        <d v="2001-11-01T00:00:00" u="1"/>
        <d v="2002-11-01T00:00:00" u="1"/>
        <d v="2003-11-01T00:00:00" u="1"/>
        <d v="2004-11-01T00:00:00" u="1"/>
        <d v="2005-11-01T00:00:00" u="1"/>
        <d v="2006-11-01T00:00:00" u="1"/>
        <d v="2007-11-01T00:00:00" u="1"/>
        <d v="2008-11-01T00:00:00" u="1"/>
        <d v="2009-11-01T00:00:00" u="1"/>
        <d v="2010-11-01T00:00:00" u="1"/>
        <d v="2011-11-01T00:00:00" u="1"/>
        <d v="2012-11-01T00:00:00" u="1"/>
        <d v="2013-11-01T00:00:00" u="1"/>
        <d v="2014-11-01T00:00:00" u="1"/>
        <d v="2015-11-01T00:00:00" u="1"/>
        <d v="2016-11-01T00:00:00" u="1"/>
        <d v="2001-12-01T00:00:00" u="1"/>
        <d v="2002-12-01T00:00:00" u="1"/>
        <d v="2003-12-01T00:00:00" u="1"/>
        <d v="2004-12-01T00:00:00" u="1"/>
        <d v="2005-12-01T00:00:00" u="1"/>
        <d v="2006-12-01T00:00:00" u="1"/>
        <d v="2007-12-01T00:00:00" u="1"/>
        <d v="2008-12-01T00:00:00" u="1"/>
        <d v="2009-12-01T00:00:00" u="1"/>
        <d v="2010-12-01T00:00:00" u="1"/>
        <d v="2011-12-01T00:00:00" u="1"/>
        <d v="2012-12-01T00:00:00" u="1"/>
        <d v="2013-12-01T00:00:00" u="1"/>
        <d v="2014-12-01T00:00:00" u="1"/>
        <d v="2015-12-01T00:00:00" u="1"/>
      </sharedItems>
    </cacheField>
    <cacheField name="Year" numFmtId="0">
      <sharedItems containsSemiMixedTypes="0" containsString="0" containsNumber="1" containsInteger="1" minValue="2001" maxValue="2026"/>
    </cacheField>
    <cacheField name="BNSF - 1.25 sp" numFmtId="2">
      <sharedItems containsString="0" containsBlank="1" containsNumber="1" minValue="0" maxValue="1.1299999999999999"/>
    </cacheField>
    <cacheField name="BNSF - 2.50 sp" numFmtId="2">
      <sharedItems containsString="0" containsBlank="1" containsNumber="1" minValue="-0.33" maxValue="0.82"/>
    </cacheField>
    <cacheField name="BNSF - 3.25 sp (A)" numFmtId="2">
      <sharedItems containsString="0" containsBlank="1" containsNumber="1" minValue="0" maxValue="0.63"/>
    </cacheField>
    <cacheField name="BNSF - 3.25 sp (B)" numFmtId="2">
      <sharedItems containsString="0" containsBlank="1" containsNumber="1" minValue="0" maxValue="0.51"/>
    </cacheField>
    <cacheField name="CN" numFmtId="167">
      <sharedItems containsSemiMixedTypes="0" containsString="0" containsNumber="1" minValue="0" maxValue="0.90300000000000002"/>
    </cacheField>
    <cacheField name="CP" numFmtId="167">
      <sharedItems containsSemiMixedTypes="0" containsString="0" containsNumber="1" minValue="0" maxValue="0.71499999999999997"/>
    </cacheField>
    <cacheField name="CSXT - 8661" numFmtId="2">
      <sharedItems containsString="0" containsBlank="1" containsNumber="1" minValue="0" maxValue="0.94"/>
    </cacheField>
    <cacheField name="CSXT - 8662" numFmtId="2">
      <sharedItems containsString="0" containsBlank="1" containsNumber="1" minValue="0" maxValue="0.51"/>
    </cacheField>
    <cacheField name="KCS" numFmtId="0">
      <sharedItems containsSemiMixedTypes="0" containsString="0" containsNumber="1" minValue="0" maxValue="0.91"/>
    </cacheField>
    <cacheField name="NS" numFmtId="2">
      <sharedItems containsSemiMixedTypes="0" containsString="0" containsNumber="1" minValue="0" maxValue="0.78"/>
    </cacheField>
    <cacheField name="UP" numFmtId="0">
      <sharedItems containsSemiMixedTypes="0" containsString="0" containsNumber="1" minValue="0" maxValue="0.74"/>
    </cacheField>
    <cacheField name="N_America" numFmtId="167">
      <sharedItems containsMixedTypes="1" containsNumber="1" minValue="0" maxValue="0.68200000000000005"/>
    </cacheField>
    <cacheField name="Weighted_Avg" numFmtId="167">
      <sharedItems containsMixedTypes="1" containsNumber="1" minValue="0" maxValue="0.60611246745960567"/>
    </cacheField>
    <cacheField name="3_Yr_Monthly_Avg" numFmtId="166">
      <sharedItems containsMixedTypes="1" containsNumber="1" minValue="9.4152400000000001E-3" maxValue="0.37084222398461719"/>
    </cacheField>
    <cacheField name="Figure 3 Filter" numFmtId="0">
      <sharedItems count="2">
        <b v="0"/>
        <b v="1"/>
      </sharedItems>
    </cacheField>
    <cacheField name="KCSM" numFmtId="0">
      <sharedItems containsString="0" containsBlank="1" containsNumber="1" minValue="0.05" maxValue="0.66499999999999559"/>
    </cacheField>
    <cacheField name="FerroMex" numFmtId="0">
      <sharedItems containsString="0" containsBlank="1" containsNumber="1" minValue="0.03" maxValue="0.40500000000000003"/>
    </cacheField>
    <cacheField name="EIA HDF Price" numFmtId="0">
      <sharedItems containsString="0" containsBlank="1" containsNumber="1" minValue="1.1519999999999999" maxValue="5.753999999999999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x v="0"/>
    <x v="0"/>
    <n v="93313"/>
  </r>
  <r>
    <x v="1"/>
    <x v="0"/>
    <n v="69881"/>
  </r>
  <r>
    <x v="2"/>
    <x v="1"/>
    <n v="456365"/>
  </r>
  <r>
    <x v="1"/>
    <x v="2"/>
    <n v="12028"/>
  </r>
  <r>
    <x v="0"/>
    <x v="3"/>
    <n v="296945"/>
  </r>
  <r>
    <x v="0"/>
    <x v="2"/>
    <n v="39827"/>
  </r>
  <r>
    <x v="3"/>
    <x v="4"/>
    <n v="101212"/>
  </r>
  <r>
    <x v="4"/>
    <x v="1"/>
    <n v="613630"/>
  </r>
  <r>
    <x v="5"/>
    <x v="0"/>
    <n v="98978"/>
  </r>
  <r>
    <x v="6"/>
    <x v="2"/>
    <n v="44741"/>
  </r>
  <r>
    <x v="7"/>
    <x v="3"/>
    <n v="260269"/>
  </r>
  <r>
    <x v="7"/>
    <x v="1"/>
    <n v="568369"/>
  </r>
  <r>
    <x v="5"/>
    <x v="3"/>
    <n v="267713"/>
  </r>
  <r>
    <x v="2"/>
    <x v="3"/>
    <n v="221902"/>
  </r>
  <r>
    <x v="7"/>
    <x v="5"/>
    <n v="60177"/>
  </r>
  <r>
    <x v="4"/>
    <x v="3"/>
    <n v="296701"/>
  </r>
  <r>
    <x v="8"/>
    <x v="1"/>
    <n v="491129"/>
  </r>
  <r>
    <x v="3"/>
    <x v="0"/>
    <n v="93935"/>
  </r>
  <r>
    <x v="0"/>
    <x v="6"/>
    <n v="130229"/>
  </r>
  <r>
    <x v="0"/>
    <x v="4"/>
    <n v="99471"/>
  </r>
  <r>
    <x v="1"/>
    <x v="6"/>
    <n v="119683"/>
  </r>
  <r>
    <x v="8"/>
    <x v="4"/>
    <n v="85091"/>
  </r>
  <r>
    <x v="0"/>
    <x v="1"/>
    <n v="570232"/>
  </r>
  <r>
    <x v="5"/>
    <x v="4"/>
    <n v="100024"/>
  </r>
  <r>
    <x v="4"/>
    <x v="2"/>
    <n v="32779"/>
  </r>
  <r>
    <x v="6"/>
    <x v="5"/>
    <n v="58512"/>
  </r>
  <r>
    <x v="5"/>
    <x v="5"/>
    <n v="56530"/>
  </r>
  <r>
    <x v="6"/>
    <x v="3"/>
    <n v="279532"/>
  </r>
  <r>
    <x v="3"/>
    <x v="5"/>
    <n v="66547"/>
  </r>
  <r>
    <x v="5"/>
    <x v="1"/>
    <n v="635458"/>
  </r>
  <r>
    <x v="2"/>
    <x v="0"/>
    <n v="67790"/>
  </r>
  <r>
    <x v="2"/>
    <x v="4"/>
    <n v="83037"/>
  </r>
  <r>
    <x v="5"/>
    <x v="6"/>
    <n v="133064"/>
  </r>
  <r>
    <x v="2"/>
    <x v="2"/>
    <n v="21968"/>
  </r>
  <r>
    <x v="8"/>
    <x v="3"/>
    <n v="273672"/>
  </r>
  <r>
    <x v="1"/>
    <x v="3"/>
    <n v="263302"/>
  </r>
  <r>
    <x v="7"/>
    <x v="0"/>
    <n v="91666"/>
  </r>
  <r>
    <x v="7"/>
    <x v="4"/>
    <n v="87687"/>
  </r>
  <r>
    <x v="4"/>
    <x v="6"/>
    <n v="130929"/>
  </r>
  <r>
    <x v="7"/>
    <x v="6"/>
    <n v="137190"/>
  </r>
  <r>
    <x v="1"/>
    <x v="5"/>
    <n v="64838"/>
  </r>
  <r>
    <x v="8"/>
    <x v="0"/>
    <n v="91152"/>
  </r>
  <r>
    <x v="5"/>
    <x v="2"/>
    <n v="30448"/>
  </r>
  <r>
    <x v="1"/>
    <x v="7"/>
    <n v="84576"/>
  </r>
  <r>
    <x v="6"/>
    <x v="4"/>
    <n v="97642"/>
  </r>
  <r>
    <x v="0"/>
    <x v="5"/>
    <n v="83584"/>
  </r>
  <r>
    <x v="3"/>
    <x v="2"/>
    <n v="36637"/>
  </r>
  <r>
    <x v="3"/>
    <x v="1"/>
    <n v="609890"/>
  </r>
  <r>
    <x v="4"/>
    <x v="4"/>
    <n v="91535"/>
  </r>
  <r>
    <x v="6"/>
    <x v="1"/>
    <n v="557544"/>
  </r>
  <r>
    <x v="4"/>
    <x v="0"/>
    <n v="91659"/>
  </r>
  <r>
    <x v="1"/>
    <x v="1"/>
    <n v="506454"/>
  </r>
  <r>
    <x v="8"/>
    <x v="2"/>
    <n v="44245"/>
  </r>
  <r>
    <x v="2"/>
    <x v="5"/>
    <n v="42551"/>
  </r>
  <r>
    <x v="4"/>
    <x v="5"/>
    <n v="63818"/>
  </r>
  <r>
    <x v="6"/>
    <x v="6"/>
    <n v="143353"/>
  </r>
  <r>
    <x v="8"/>
    <x v="5"/>
    <n v="65174"/>
  </r>
  <r>
    <x v="1"/>
    <x v="4"/>
    <n v="33424"/>
  </r>
  <r>
    <x v="6"/>
    <x v="0"/>
    <n v="87911"/>
  </r>
  <r>
    <x v="2"/>
    <x v="6"/>
    <n v="111979"/>
  </r>
  <r>
    <x v="3"/>
    <x v="3"/>
    <n v="318002"/>
  </r>
  <r>
    <x v="3"/>
    <x v="6"/>
    <n v="120906"/>
  </r>
  <r>
    <x v="7"/>
    <x v="2"/>
    <n v="37302"/>
  </r>
  <r>
    <x v="8"/>
    <x v="6"/>
    <n v="12803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7">
  <r>
    <x v="0"/>
    <n v="2001"/>
    <m/>
    <m/>
    <m/>
    <m/>
    <n v="7.9299999999999995E-2"/>
    <n v="0"/>
    <m/>
    <m/>
    <n v="0"/>
    <n v="0"/>
    <n v="0"/>
    <s v=""/>
    <s v=""/>
    <s v=""/>
    <x v="0"/>
    <m/>
    <m/>
    <n v="1.524"/>
  </r>
  <r>
    <x v="1"/>
    <n v="2001"/>
    <m/>
    <m/>
    <m/>
    <m/>
    <n v="6.7100000000000007E-2"/>
    <n v="0"/>
    <m/>
    <m/>
    <n v="0"/>
    <n v="0"/>
    <n v="0"/>
    <s v=""/>
    <s v=""/>
    <s v=""/>
    <x v="0"/>
    <m/>
    <m/>
    <n v="1.492"/>
  </r>
  <r>
    <x v="2"/>
    <n v="2001"/>
    <n v="7.0000000000000007E-2"/>
    <n v="-0.24"/>
    <n v="0"/>
    <n v="0"/>
    <n v="6.0999999999999999E-2"/>
    <n v="0"/>
    <n v="0"/>
    <n v="0"/>
    <n v="0"/>
    <n v="0"/>
    <n v="0"/>
    <n v="1.8714285714285715E-2"/>
    <s v=""/>
    <s v=""/>
    <x v="0"/>
    <m/>
    <m/>
    <n v="1.399"/>
  </r>
  <r>
    <x v="3"/>
    <n v="2001"/>
    <n v="7.0000000000000007E-2"/>
    <n v="-0.25"/>
    <n v="0"/>
    <n v="0"/>
    <n v="5.4899999999999997E-2"/>
    <n v="0"/>
    <n v="0"/>
    <n v="0"/>
    <n v="0"/>
    <n v="0"/>
    <n v="0"/>
    <n v="1.7842857142857143E-2"/>
    <s v=""/>
    <s v=""/>
    <x v="0"/>
    <m/>
    <m/>
    <n v="1.4219999999999999"/>
  </r>
  <r>
    <x v="4"/>
    <n v="2001"/>
    <n v="0.04"/>
    <n v="-0.27"/>
    <n v="0"/>
    <n v="0"/>
    <n v="3.0499999999999999E-2"/>
    <n v="0"/>
    <n v="0"/>
    <n v="0"/>
    <n v="0"/>
    <n v="0"/>
    <n v="0"/>
    <n v="1.0071428571428573E-2"/>
    <s v=""/>
    <s v=""/>
    <x v="0"/>
    <m/>
    <m/>
    <n v="1.496"/>
  </r>
  <r>
    <x v="5"/>
    <n v="2001"/>
    <n v="0.05"/>
    <n v="-0.26"/>
    <n v="0"/>
    <n v="0"/>
    <n v="3.6600000000000001E-2"/>
    <n v="0"/>
    <n v="0"/>
    <n v="0"/>
    <n v="0"/>
    <n v="0"/>
    <n v="0"/>
    <n v="1.2371428571428573E-2"/>
    <s v=""/>
    <s v=""/>
    <x v="0"/>
    <m/>
    <m/>
    <n v="1.482"/>
  </r>
  <r>
    <x v="6"/>
    <n v="2001"/>
    <n v="7.0000000000000007E-2"/>
    <n v="-0.25"/>
    <n v="0"/>
    <n v="0"/>
    <n v="5.4899999999999997E-2"/>
    <n v="0"/>
    <n v="0"/>
    <n v="0"/>
    <n v="0"/>
    <n v="0"/>
    <n v="0"/>
    <n v="1.7842857142857143E-2"/>
    <s v=""/>
    <s v=""/>
    <x v="0"/>
    <m/>
    <m/>
    <n v="1.375"/>
  </r>
  <r>
    <x v="7"/>
    <n v="2001"/>
    <n v="0.06"/>
    <n v="-0.25"/>
    <n v="0"/>
    <n v="0"/>
    <n v="4.8800000000000003E-2"/>
    <n v="0"/>
    <n v="0"/>
    <n v="0"/>
    <n v="0"/>
    <n v="0"/>
    <n v="0"/>
    <n v="1.5542857142857145E-2"/>
    <s v=""/>
    <s v=""/>
    <x v="0"/>
    <m/>
    <m/>
    <n v="1.39"/>
  </r>
  <r>
    <x v="8"/>
    <n v="2001"/>
    <n v="0.04"/>
    <n v="-0.28000000000000003"/>
    <n v="0"/>
    <n v="0"/>
    <n v="3.0499999999999999E-2"/>
    <n v="0"/>
    <n v="0"/>
    <n v="0"/>
    <n v="0"/>
    <n v="0"/>
    <n v="0"/>
    <n v="1.0071428571428573E-2"/>
    <s v=""/>
    <s v=""/>
    <x v="0"/>
    <m/>
    <m/>
    <n v="1.4950000000000001"/>
  </r>
  <r>
    <x v="9"/>
    <n v="2001"/>
    <n v="0.04"/>
    <n v="-0.27"/>
    <n v="0"/>
    <n v="0"/>
    <n v="3.0499999999999999E-2"/>
    <n v="0"/>
    <n v="0"/>
    <n v="0"/>
    <n v="0"/>
    <n v="0"/>
    <n v="0"/>
    <n v="1.0071428571428573E-2"/>
    <s v=""/>
    <s v=""/>
    <x v="0"/>
    <m/>
    <m/>
    <n v="1.3480000000000001"/>
  </r>
  <r>
    <x v="10"/>
    <n v="2001"/>
    <n v="7.0000000000000007E-2"/>
    <n v="-0.25"/>
    <n v="0"/>
    <n v="0"/>
    <n v="5.4899999999999997E-2"/>
    <n v="0"/>
    <n v="0"/>
    <n v="0"/>
    <n v="0"/>
    <n v="0"/>
    <n v="0"/>
    <n v="1.7842857142857143E-2"/>
    <s v=""/>
    <s v=""/>
    <x v="0"/>
    <m/>
    <m/>
    <n v="1.2589999999999999"/>
  </r>
  <r>
    <x v="11"/>
    <n v="2001"/>
    <n v="0.03"/>
    <n v="-0.28000000000000003"/>
    <n v="0"/>
    <n v="0"/>
    <n v="2.4400000000000002E-2"/>
    <n v="0"/>
    <n v="0"/>
    <n v="0"/>
    <n v="0"/>
    <n v="0"/>
    <n v="0"/>
    <n v="7.7714285714285724E-3"/>
    <s v=""/>
    <s v=""/>
    <x v="0"/>
    <m/>
    <m/>
    <n v="1.167"/>
  </r>
  <r>
    <x v="12"/>
    <n v="2002"/>
    <n v="0.01"/>
    <n v="-0.31"/>
    <n v="0"/>
    <n v="0"/>
    <n v="6.1000000000000004E-3"/>
    <n v="0"/>
    <n v="0"/>
    <n v="0"/>
    <n v="0"/>
    <n v="0"/>
    <n v="0"/>
    <n v="2.3E-3"/>
    <n v="3.5268799999999996E-3"/>
    <s v=""/>
    <x v="0"/>
    <m/>
    <m/>
    <n v="1.153"/>
  </r>
  <r>
    <x v="13"/>
    <n v="2002"/>
    <n v="0"/>
    <n v="-0.33"/>
    <n v="0"/>
    <n v="0"/>
    <n v="0"/>
    <n v="0"/>
    <n v="0"/>
    <n v="0"/>
    <n v="0"/>
    <n v="0"/>
    <n v="0"/>
    <n v="0"/>
    <n v="0"/>
    <s v=""/>
    <x v="0"/>
    <m/>
    <m/>
    <n v="1.1519999999999999"/>
  </r>
  <r>
    <x v="14"/>
    <n v="2002"/>
    <n v="0"/>
    <n v="-0.33"/>
    <n v="0"/>
    <n v="0"/>
    <n v="0"/>
    <n v="0"/>
    <n v="0"/>
    <n v="0"/>
    <n v="0"/>
    <n v="0"/>
    <n v="0"/>
    <n v="0"/>
    <n v="0"/>
    <s v=""/>
    <x v="0"/>
    <m/>
    <m/>
    <n v="1.23"/>
  </r>
  <r>
    <x v="15"/>
    <n v="2002"/>
    <n v="0"/>
    <n v="-0.33"/>
    <n v="0"/>
    <n v="0"/>
    <n v="0"/>
    <n v="0"/>
    <n v="0"/>
    <n v="0"/>
    <n v="0"/>
    <n v="0"/>
    <n v="0"/>
    <n v="0"/>
    <n v="0"/>
    <s v=""/>
    <x v="0"/>
    <m/>
    <m/>
    <n v="1.3089999999999999"/>
  </r>
  <r>
    <x v="16"/>
    <n v="2002"/>
    <n v="0"/>
    <n v="-0.31"/>
    <n v="0"/>
    <n v="0"/>
    <n v="0"/>
    <n v="0"/>
    <n v="0"/>
    <n v="0"/>
    <n v="0"/>
    <n v="0"/>
    <n v="0"/>
    <n v="0"/>
    <n v="0"/>
    <s v=""/>
    <x v="0"/>
    <m/>
    <m/>
    <n v="1.3049999999999999"/>
  </r>
  <r>
    <x v="17"/>
    <n v="2002"/>
    <n v="0.02"/>
    <n v="-0.28999999999999998"/>
    <n v="0"/>
    <n v="0"/>
    <n v="1.2200000000000001E-2"/>
    <n v="0"/>
    <n v="0"/>
    <n v="0"/>
    <n v="0"/>
    <n v="0"/>
    <n v="0"/>
    <n v="4.5999999999999999E-3"/>
    <n v="7.0537599999999992E-3"/>
    <s v=""/>
    <x v="0"/>
    <m/>
    <m/>
    <n v="1.286"/>
  </r>
  <r>
    <x v="18"/>
    <n v="2002"/>
    <n v="0.02"/>
    <n v="-0.28999999999999998"/>
    <n v="0"/>
    <n v="0"/>
    <n v="1.2200000000000001E-2"/>
    <n v="0"/>
    <n v="0"/>
    <n v="0"/>
    <n v="0"/>
    <n v="0"/>
    <n v="0"/>
    <n v="4.5999999999999999E-3"/>
    <n v="7.0537599999999992E-3"/>
    <s v=""/>
    <x v="0"/>
    <m/>
    <m/>
    <n v="1.2989999999999999"/>
  </r>
  <r>
    <x v="19"/>
    <n v="2002"/>
    <n v="0.01"/>
    <n v="-0.3"/>
    <n v="0"/>
    <n v="0"/>
    <n v="1.2200000000000001E-2"/>
    <n v="0"/>
    <n v="0"/>
    <n v="0"/>
    <n v="0"/>
    <n v="0"/>
    <n v="0"/>
    <n v="3.1714285714285716E-3"/>
    <n v="4.3247599999999995E-3"/>
    <s v=""/>
    <x v="0"/>
    <m/>
    <m/>
    <n v="1.3280000000000001"/>
  </r>
  <r>
    <x v="20"/>
    <n v="2002"/>
    <n v="0.02"/>
    <n v="-0.3"/>
    <n v="0"/>
    <n v="0"/>
    <n v="1.2200000000000001E-2"/>
    <n v="0"/>
    <n v="0"/>
    <n v="0"/>
    <n v="0"/>
    <n v="0"/>
    <n v="0"/>
    <n v="4.5999999999999999E-3"/>
    <n v="7.0537599999999992E-3"/>
    <s v=""/>
    <x v="0"/>
    <m/>
    <m/>
    <n v="1.411"/>
  </r>
  <r>
    <x v="21"/>
    <n v="2002"/>
    <n v="0.02"/>
    <n v="-0.28999999999999998"/>
    <n v="0"/>
    <n v="0"/>
    <n v="1.83E-2"/>
    <n v="0"/>
    <n v="0"/>
    <n v="0"/>
    <n v="0"/>
    <n v="0"/>
    <n v="0"/>
    <n v="5.4714285714285715E-3"/>
    <n v="7.85164E-3"/>
    <s v=""/>
    <x v="0"/>
    <m/>
    <m/>
    <n v="1.462"/>
  </r>
  <r>
    <x v="22"/>
    <n v="2002"/>
    <n v="0.05"/>
    <n v="-0.27"/>
    <n v="0"/>
    <n v="0"/>
    <n v="3.6600000000000001E-2"/>
    <n v="0"/>
    <n v="0"/>
    <n v="0"/>
    <n v="0"/>
    <n v="0"/>
    <n v="0"/>
    <n v="1.2371428571428573E-2"/>
    <n v="1.8432279999999999E-2"/>
    <s v=""/>
    <x v="0"/>
    <m/>
    <m/>
    <n v="1.42"/>
  </r>
  <r>
    <x v="23"/>
    <n v="2002"/>
    <n v="0.06"/>
    <n v="-0.25"/>
    <n v="0"/>
    <n v="0"/>
    <n v="4.8800000000000003E-2"/>
    <n v="0"/>
    <n v="0"/>
    <n v="0"/>
    <n v="0"/>
    <n v="0"/>
    <n v="0"/>
    <n v="1.5542857142857145E-2"/>
    <n v="2.2757039999999999E-2"/>
    <s v=""/>
    <x v="0"/>
    <m/>
    <m/>
    <n v="1.429"/>
  </r>
  <r>
    <x v="24"/>
    <n v="2003"/>
    <n v="0.05"/>
    <n v="-0.26"/>
    <n v="0"/>
    <n v="0"/>
    <n v="3.6600000000000001E-2"/>
    <n v="0"/>
    <n v="0"/>
    <n v="0"/>
    <n v="0"/>
    <n v="0"/>
    <n v="0"/>
    <n v="1.2371428571428573E-2"/>
    <n v="1.883048E-2"/>
    <s v=""/>
    <x v="0"/>
    <m/>
    <m/>
    <n v="1.488"/>
  </r>
  <r>
    <x v="25"/>
    <n v="2003"/>
    <n v="0.05"/>
    <n v="-0.26"/>
    <n v="0"/>
    <n v="0"/>
    <n v="3.6600000000000001E-2"/>
    <n v="0"/>
    <n v="0"/>
    <n v="0"/>
    <n v="0"/>
    <n v="0"/>
    <n v="0"/>
    <n v="1.2371428571428573E-2"/>
    <n v="1.883048E-2"/>
    <s v=""/>
    <x v="0"/>
    <m/>
    <m/>
    <n v="1.6539999999999999"/>
  </r>
  <r>
    <x v="26"/>
    <n v="2003"/>
    <n v="0.06"/>
    <n v="-0.25"/>
    <n v="0"/>
    <n v="0"/>
    <n v="4.8800000000000003E-2"/>
    <n v="0"/>
    <n v="0"/>
    <n v="0"/>
    <n v="0"/>
    <n v="0"/>
    <n v="0"/>
    <n v="1.5542857142857145E-2"/>
    <n v="2.3244639999999997E-2"/>
    <s v=""/>
    <x v="0"/>
    <m/>
    <m/>
    <n v="1.708"/>
  </r>
  <r>
    <x v="27"/>
    <n v="2003"/>
    <n v="0.11"/>
    <n v="-0.21"/>
    <n v="0"/>
    <n v="0"/>
    <n v="8.5400000000000004E-2"/>
    <n v="0"/>
    <n v="0"/>
    <n v="0"/>
    <n v="0"/>
    <n v="0"/>
    <n v="0"/>
    <n v="2.7914285714285718E-2"/>
    <n v="4.2075120000000001E-2"/>
    <s v=""/>
    <x v="0"/>
    <m/>
    <m/>
    <n v="1.5329999999999999"/>
  </r>
  <r>
    <x v="28"/>
    <n v="2003"/>
    <n v="0.12"/>
    <n v="-0.19"/>
    <n v="0"/>
    <n v="0"/>
    <n v="9.7600000000000006E-2"/>
    <n v="0"/>
    <n v="0"/>
    <n v="0"/>
    <n v="0"/>
    <n v="0"/>
    <n v="0"/>
    <n v="3.1085714285714289E-2"/>
    <n v="4.6489279999999994E-2"/>
    <s v=""/>
    <x v="0"/>
    <m/>
    <m/>
    <n v="1.4510000000000001"/>
  </r>
  <r>
    <x v="29"/>
    <n v="2003"/>
    <n v="0.08"/>
    <n v="-0.24"/>
    <n v="0"/>
    <n v="0"/>
    <n v="6.0999999999999999E-2"/>
    <n v="0"/>
    <n v="0"/>
    <n v="0"/>
    <n v="0"/>
    <n v="0"/>
    <n v="0"/>
    <n v="2.0142857142857146E-2"/>
    <n v="3.0452800000000002E-2"/>
    <s v=""/>
    <x v="0"/>
    <m/>
    <m/>
    <n v="1.4239999999999999"/>
  </r>
  <r>
    <x v="30"/>
    <n v="2003"/>
    <n v="0.06"/>
    <n v="-0.26"/>
    <n v="0"/>
    <n v="0"/>
    <n v="4.2700000000000002E-2"/>
    <n v="0"/>
    <n v="0"/>
    <n v="0"/>
    <n v="0"/>
    <n v="0"/>
    <n v="0"/>
    <n v="1.4671428571428571E-2"/>
    <n v="2.2434559999999999E-2"/>
    <s v=""/>
    <x v="0"/>
    <m/>
    <m/>
    <n v="1.4350000000000001"/>
  </r>
  <r>
    <x v="31"/>
    <n v="2003"/>
    <n v="0.05"/>
    <n v="-0.26"/>
    <n v="0"/>
    <n v="0"/>
    <n v="3.6600000000000001E-2"/>
    <n v="0"/>
    <n v="0"/>
    <n v="0"/>
    <n v="0"/>
    <n v="0"/>
    <n v="0"/>
    <n v="1.2371428571428573E-2"/>
    <n v="1.883048E-2"/>
    <s v=""/>
    <x v="0"/>
    <m/>
    <m/>
    <n v="1.4870000000000001"/>
  </r>
  <r>
    <x v="32"/>
    <n v="2003"/>
    <n v="0.05"/>
    <n v="-0.26"/>
    <n v="0"/>
    <n v="0"/>
    <n v="4.2700000000000002E-2"/>
    <n v="0"/>
    <n v="0"/>
    <n v="0"/>
    <n v="0"/>
    <n v="0"/>
    <n v="0"/>
    <n v="1.3242857142857143E-2"/>
    <n v="1.9640560000000001E-2"/>
    <s v=""/>
    <x v="0"/>
    <m/>
    <m/>
    <n v="1.4670000000000001"/>
  </r>
  <r>
    <x v="33"/>
    <n v="2003"/>
    <n v="0.06"/>
    <n v="-0.25"/>
    <n v="0"/>
    <n v="0"/>
    <n v="4.8800000000000003E-2"/>
    <n v="0"/>
    <n v="0"/>
    <n v="0"/>
    <n v="0"/>
    <n v="0"/>
    <n v="0"/>
    <n v="1.5542857142857145E-2"/>
    <n v="2.3244639999999997E-2"/>
    <s v=""/>
    <x v="0"/>
    <m/>
    <m/>
    <n v="1.4810000000000001"/>
  </r>
  <r>
    <x v="34"/>
    <n v="2003"/>
    <n v="0.06"/>
    <n v="-0.25"/>
    <n v="0"/>
    <n v="0"/>
    <n v="4.8800000000000003E-2"/>
    <n v="0"/>
    <n v="0"/>
    <n v="0"/>
    <n v="0"/>
    <n v="0"/>
    <n v="0"/>
    <n v="1.5542857142857145E-2"/>
    <n v="2.3244639999999997E-2"/>
    <s v=""/>
    <x v="0"/>
    <m/>
    <m/>
    <n v="1.482"/>
  </r>
  <r>
    <x v="35"/>
    <n v="2003"/>
    <n v="0.06"/>
    <n v="-0.25"/>
    <n v="0"/>
    <n v="0"/>
    <n v="4.8800000000000003E-2"/>
    <n v="0"/>
    <n v="0"/>
    <n v="0"/>
    <n v="0"/>
    <n v="0"/>
    <n v="0"/>
    <n v="1.5542857142857145E-2"/>
    <n v="2.3244639999999997E-2"/>
    <n v="2.2757039999999999E-2"/>
    <x v="0"/>
    <m/>
    <m/>
    <n v="1.49"/>
  </r>
  <r>
    <x v="36"/>
    <n v="2004"/>
    <n v="0.06"/>
    <n v="-0.25"/>
    <n v="0"/>
    <n v="0"/>
    <n v="4.8800000000000003E-2"/>
    <n v="0"/>
    <n v="0"/>
    <n v="0"/>
    <n v="0"/>
    <n v="0"/>
    <n v="0"/>
    <n v="1.5542857142857145E-2"/>
    <n v="2.485768E-2"/>
    <n v="1.117868E-2"/>
    <x v="0"/>
    <m/>
    <m/>
    <n v="1.5509999999999999"/>
  </r>
  <r>
    <x v="37"/>
    <n v="2004"/>
    <n v="7.0000000000000007E-2"/>
    <n v="-0.25"/>
    <n v="0"/>
    <n v="0"/>
    <n v="5.4899999999999997E-2"/>
    <n v="0"/>
    <n v="0"/>
    <n v="0"/>
    <n v="0"/>
    <n v="0"/>
    <n v="0"/>
    <n v="1.7842857142857143E-2"/>
    <n v="2.8693390000000003E-2"/>
    <n v="9.4152400000000001E-3"/>
    <x v="0"/>
    <m/>
    <m/>
    <n v="1.5820000000000001"/>
  </r>
  <r>
    <x v="38"/>
    <n v="2004"/>
    <n v="0.08"/>
    <n v="-0.23"/>
    <n v="0"/>
    <n v="0"/>
    <n v="6.7100000000000007E-2"/>
    <n v="0"/>
    <n v="0"/>
    <n v="0"/>
    <n v="0"/>
    <n v="0"/>
    <n v="0"/>
    <n v="2.1014285714285715E-2"/>
    <n v="3.3450809999999997E-2"/>
    <n v="1.1622319999999998E-2"/>
    <x v="0"/>
    <m/>
    <m/>
    <n v="1.629"/>
  </r>
  <r>
    <x v="39"/>
    <n v="2004"/>
    <n v="0.09"/>
    <n v="-0.22"/>
    <n v="0"/>
    <n v="0"/>
    <n v="7.3200000000000001E-2"/>
    <n v="0"/>
    <n v="0"/>
    <n v="0"/>
    <n v="0"/>
    <n v="0"/>
    <n v="0"/>
    <n v="2.3314285714285714E-2"/>
    <n v="3.7286520000000004E-2"/>
    <n v="2.103756E-2"/>
    <x v="0"/>
    <m/>
    <m/>
    <n v="1.6919999999999999"/>
  </r>
  <r>
    <x v="40"/>
    <n v="2004"/>
    <n v="0.1"/>
    <n v="-0.21"/>
    <n v="0"/>
    <n v="0"/>
    <n v="7.9299999999999995E-2"/>
    <n v="0"/>
    <n v="0"/>
    <n v="0"/>
    <n v="0"/>
    <n v="0"/>
    <n v="0"/>
    <n v="2.5614285714285718E-2"/>
    <n v="4.1122229999999996E-2"/>
    <n v="2.3244639999999997E-2"/>
    <x v="0"/>
    <m/>
    <m/>
    <n v="1.746"/>
  </r>
  <r>
    <x v="41"/>
    <n v="2004"/>
    <n v="0.12"/>
    <n v="-0.2"/>
    <n v="0"/>
    <n v="0"/>
    <n v="9.1499999999999998E-2"/>
    <n v="0"/>
    <n v="0"/>
    <n v="0"/>
    <n v="0"/>
    <n v="0"/>
    <n v="0"/>
    <n v="3.0214285714285714E-2"/>
    <n v="4.8793650000000001E-2"/>
    <n v="1.8753280000000001E-2"/>
    <x v="0"/>
    <m/>
    <m/>
    <n v="1.7110000000000001"/>
  </r>
  <r>
    <x v="42"/>
    <n v="2004"/>
    <n v="0.13"/>
    <n v="-0.18"/>
    <n v="0"/>
    <n v="0"/>
    <n v="0.1037"/>
    <n v="0"/>
    <n v="0"/>
    <n v="0"/>
    <n v="0"/>
    <n v="0"/>
    <n v="0"/>
    <n v="3.3385714285714289E-2"/>
    <n v="5.3551069999999999E-2"/>
    <n v="1.4744159999999999E-2"/>
    <x v="0"/>
    <m/>
    <m/>
    <n v="1.7390000000000001"/>
  </r>
  <r>
    <x v="43"/>
    <n v="2004"/>
    <n v="0.12"/>
    <n v="-0.19"/>
    <n v="0"/>
    <n v="0"/>
    <n v="9.7600000000000006E-2"/>
    <n v="0"/>
    <n v="0"/>
    <n v="0"/>
    <n v="0"/>
    <n v="0"/>
    <n v="0"/>
    <n v="3.1085714285714289E-2"/>
    <n v="4.971536E-2"/>
    <n v="1.157762E-2"/>
    <x v="0"/>
    <m/>
    <m/>
    <n v="1.833"/>
  </r>
  <r>
    <x v="44"/>
    <n v="2004"/>
    <n v="0.13"/>
    <n v="-0.19"/>
    <n v="0"/>
    <n v="0"/>
    <n v="0.1037"/>
    <n v="0"/>
    <n v="0"/>
    <n v="0"/>
    <n v="0"/>
    <n v="0"/>
    <n v="0"/>
    <n v="3.3385714285714289E-2"/>
    <n v="5.3551069999999999E-2"/>
    <n v="1.334716E-2"/>
    <x v="0"/>
    <m/>
    <m/>
    <n v="1.917"/>
  </r>
  <r>
    <x v="45"/>
    <n v="2004"/>
    <n v="0.15"/>
    <n v="-0.16"/>
    <n v="0"/>
    <n v="0"/>
    <n v="0.122"/>
    <n v="0"/>
    <n v="0"/>
    <n v="0"/>
    <n v="0"/>
    <n v="0"/>
    <n v="0"/>
    <n v="3.8857142857142861E-2"/>
    <n v="6.2144199999999997E-2"/>
    <n v="1.5548139999999998E-2"/>
    <x v="0"/>
    <m/>
    <m/>
    <n v="2.1339999999999999"/>
  </r>
  <r>
    <x v="46"/>
    <n v="2004"/>
    <n v="0.17"/>
    <n v="-0.14000000000000001"/>
    <n v="0"/>
    <n v="0"/>
    <n v="0.14030000000000001"/>
    <n v="0"/>
    <n v="0"/>
    <n v="0"/>
    <n v="0"/>
    <n v="0"/>
    <n v="0"/>
    <n v="4.4328571428571432E-2"/>
    <n v="7.0737330000000015E-2"/>
    <n v="2.0838459999999996E-2"/>
    <x v="0"/>
    <m/>
    <m/>
    <n v="2.1469999999999998"/>
  </r>
  <r>
    <x v="47"/>
    <n v="2004"/>
    <n v="0.23"/>
    <n v="-0.09"/>
    <n v="0"/>
    <n v="0"/>
    <n v="0.183"/>
    <n v="0"/>
    <n v="0.04"/>
    <n v="0"/>
    <n v="0"/>
    <n v="0"/>
    <n v="0"/>
    <n v="6.471428571428571E-2"/>
    <n v="9.8289299999999996E-2"/>
    <n v="2.3000839999999998E-2"/>
    <x v="0"/>
    <n v="0.06"/>
    <m/>
    <n v="2.0089999999999999"/>
  </r>
  <r>
    <x v="48"/>
    <n v="2005"/>
    <n v="0.23"/>
    <n v="-0.08"/>
    <n v="0"/>
    <n v="0"/>
    <n v="0.183"/>
    <n v="0"/>
    <n v="0.04"/>
    <n v="0"/>
    <n v="0"/>
    <n v="0"/>
    <n v="0"/>
    <n v="6.471428571428571E-2"/>
    <n v="9.9859099999999992E-2"/>
    <n v="1.5738346666666667E-2"/>
    <x v="0"/>
    <n v="0.06"/>
    <m/>
    <n v="1.9590000000000001"/>
  </r>
  <r>
    <x v="49"/>
    <n v="2005"/>
    <n v="0.19"/>
    <n v="-0.12"/>
    <n v="0"/>
    <n v="0"/>
    <n v="0.15859999999999999"/>
    <n v="0"/>
    <n v="0.01"/>
    <n v="0"/>
    <n v="0"/>
    <n v="0"/>
    <n v="0"/>
    <n v="5.1228571428571436E-2"/>
    <n v="8.1328819999999996E-2"/>
    <n v="1.5841290000000001E-2"/>
    <x v="0"/>
    <n v="0.06"/>
    <m/>
    <n v="2.0270000000000001"/>
  </r>
  <r>
    <x v="50"/>
    <n v="2005"/>
    <n v="0.18"/>
    <n v="-0.13"/>
    <n v="0"/>
    <n v="0"/>
    <n v="0.1464"/>
    <n v="0"/>
    <n v="0"/>
    <n v="0"/>
    <n v="0"/>
    <n v="0"/>
    <n v="0"/>
    <n v="4.6628571428571429E-2"/>
    <n v="7.5577679999999994E-2"/>
    <n v="1.889848333333333E-2"/>
    <x v="0"/>
    <n v="0.05"/>
    <m/>
    <n v="2.214"/>
  </r>
  <r>
    <x v="51"/>
    <n v="2005"/>
    <n v="0.2"/>
    <n v="-0.11"/>
    <n v="0"/>
    <n v="0"/>
    <n v="0.15859999999999999"/>
    <n v="0"/>
    <n v="0.01"/>
    <n v="0"/>
    <n v="0"/>
    <n v="0"/>
    <n v="0"/>
    <n v="5.2657142857142861E-2"/>
    <n v="8.4358820000000001E-2"/>
    <n v="2.6453880000000003E-2"/>
    <x v="0"/>
    <n v="0.05"/>
    <m/>
    <n v="2.2919999999999998"/>
  </r>
  <r>
    <x v="52"/>
    <n v="2005"/>
    <n v="0.25"/>
    <n v="-7.0000000000000007E-2"/>
    <n v="0"/>
    <n v="0"/>
    <n v="0.20130000000000001"/>
    <n v="0"/>
    <n v="0.06"/>
    <n v="0"/>
    <n v="0"/>
    <n v="0"/>
    <n v="0"/>
    <n v="7.3042857142857159E-2"/>
    <n v="0.11048480999999999"/>
    <n v="2.9203836666666663E-2"/>
    <x v="0"/>
    <n v="0.06"/>
    <m/>
    <n v="2.1989999999999998"/>
  </r>
  <r>
    <x v="53"/>
    <n v="2005"/>
    <n v="0.27"/>
    <n v="-0.05"/>
    <n v="0"/>
    <n v="0"/>
    <n v="0.2135"/>
    <n v="0.01"/>
    <n v="0.08"/>
    <n v="0"/>
    <n v="0"/>
    <n v="0"/>
    <n v="0"/>
    <n v="8.1928571428571434E-2"/>
    <n v="0.12160295"/>
    <n v="2.8766736666666664E-2"/>
    <x v="0"/>
    <n v="0.06"/>
    <m/>
    <n v="2.29"/>
  </r>
  <r>
    <x v="54"/>
    <n v="2005"/>
    <n v="0.24"/>
    <n v="-7.0000000000000007E-2"/>
    <n v="0"/>
    <n v="0"/>
    <n v="0.19520000000000001"/>
    <n v="0"/>
    <n v="0.05"/>
    <n v="0"/>
    <n v="0"/>
    <n v="0"/>
    <n v="0"/>
    <n v="6.9314285714285717E-2"/>
    <n v="0.10561023999999999"/>
    <n v="2.7679796666666662E-2"/>
    <x v="0"/>
    <n v="0.06"/>
    <m/>
    <n v="2.3730000000000002"/>
  </r>
  <r>
    <x v="55"/>
    <n v="2005"/>
    <n v="0.27"/>
    <n v="-0.05"/>
    <n v="0"/>
    <n v="0"/>
    <n v="0.2135"/>
    <n v="0.01"/>
    <n v="0.08"/>
    <n v="0"/>
    <n v="0"/>
    <n v="0"/>
    <n v="0"/>
    <n v="8.1928571428571434E-2"/>
    <n v="0.12160295"/>
    <n v="2.4290199999999998E-2"/>
    <x v="0"/>
    <n v="0.06"/>
    <m/>
    <n v="2.5"/>
  </r>
  <r>
    <x v="56"/>
    <n v="2005"/>
    <n v="0.28999999999999998"/>
    <n v="-0.03"/>
    <n v="0"/>
    <n v="0"/>
    <n v="0.23180000000000001"/>
    <n v="0.03"/>
    <n v="0.1"/>
    <n v="0"/>
    <n v="0.06"/>
    <n v="0"/>
    <n v="0.06"/>
    <n v="0.11025714285714286"/>
    <n v="0.14774665999999997"/>
    <n v="2.6748463333333333E-2"/>
    <x v="0"/>
    <n v="0.06"/>
    <m/>
    <n v="2.819"/>
  </r>
  <r>
    <x v="57"/>
    <n v="2005"/>
    <n v="0.32"/>
    <n v="0.01"/>
    <n v="0"/>
    <n v="0"/>
    <n v="0.25619999999999998"/>
    <n v="5.5E-2"/>
    <n v="0.13"/>
    <n v="0"/>
    <n v="0.1"/>
    <n v="0"/>
    <n v="0.09"/>
    <n v="0.1358857142857143"/>
    <n v="0.17323444000000002"/>
    <n v="3.1080159999999996E-2"/>
    <x v="0"/>
    <n v="0.06"/>
    <m/>
    <n v="3.0950000000000002"/>
  </r>
  <r>
    <x v="58"/>
    <n v="2005"/>
    <n v="0.4"/>
    <n v="0.08"/>
    <n v="0"/>
    <n v="0"/>
    <n v="0.32329999999999998"/>
    <n v="0.12"/>
    <n v="0.21"/>
    <n v="0"/>
    <n v="0.17"/>
    <n v="0"/>
    <n v="0.15"/>
    <n v="0.19618571428571427"/>
    <n v="0.23671420999999998"/>
    <n v="3.7471416666666667E-2"/>
    <x v="0"/>
    <n v="0.06"/>
    <m/>
    <n v="2.573"/>
  </r>
  <r>
    <x v="59"/>
    <n v="2005"/>
    <n v="0.47"/>
    <n v="0.15"/>
    <n v="0"/>
    <n v="0"/>
    <n v="0.37819999999999998"/>
    <n v="0.18"/>
    <n v="0.28000000000000003"/>
    <n v="0"/>
    <n v="0.24"/>
    <n v="0"/>
    <n v="0.2"/>
    <n v="0.24974285714285713"/>
    <n v="0.29180333999999997"/>
    <n v="4.8096993333333331E-2"/>
    <x v="0"/>
    <n v="0.06"/>
    <m/>
    <n v="2.4430000000000001"/>
  </r>
  <r>
    <x v="60"/>
    <n v="2006"/>
    <n v="0.34"/>
    <n v="0.02"/>
    <n v="0"/>
    <n v="0"/>
    <n v="0.27450000000000002"/>
    <n v="7.0000000000000007E-2"/>
    <n v="0.15"/>
    <n v="0"/>
    <n v="0.11"/>
    <n v="0"/>
    <n v="0.1"/>
    <n v="0.14921428571428574"/>
    <n v="0.19146582999999998"/>
    <n v="4.7849086666666672E-2"/>
    <x v="0"/>
    <n v="0.06"/>
    <m/>
    <n v="2.4670000000000001"/>
  </r>
  <r>
    <x v="61"/>
    <n v="2006"/>
    <n v="0.3"/>
    <n v="-0.01"/>
    <n v="0"/>
    <n v="0"/>
    <n v="0.24399999999999999"/>
    <n v="4.4999999999999998E-2"/>
    <n v="0.12"/>
    <n v="0"/>
    <n v="0.08"/>
    <n v="0"/>
    <n v="7.0000000000000007E-2"/>
    <n v="0.12271428571428571"/>
    <n v="0.16204955999999998"/>
    <n v="4.2950896666666662E-2"/>
    <x v="0"/>
    <n v="7.0000000000000007E-2"/>
    <m/>
    <n v="2.4750000000000001"/>
  </r>
  <r>
    <x v="62"/>
    <n v="2006"/>
    <n v="0.31"/>
    <n v="0"/>
    <n v="0"/>
    <n v="0"/>
    <n v="0.25009999999999999"/>
    <n v="0.05"/>
    <n v="0.12"/>
    <n v="0"/>
    <n v="0.09"/>
    <n v="0"/>
    <n v="0.08"/>
    <n v="0.12858571428571428"/>
    <n v="0.16874765399999994"/>
    <n v="4.409104333333333E-2"/>
    <x v="0"/>
    <n v="7.0000000000000007E-2"/>
    <m/>
    <n v="2.5590000000000002"/>
  </r>
  <r>
    <x v="63"/>
    <n v="2006"/>
    <n v="0.31"/>
    <n v="0"/>
    <n v="0"/>
    <n v="0"/>
    <n v="0.25009999999999999"/>
    <n v="0.05"/>
    <n v="0.12"/>
    <n v="0"/>
    <n v="0.09"/>
    <n v="0"/>
    <n v="0.08"/>
    <n v="0.12858571428571428"/>
    <n v="0.16874765399999994"/>
    <n v="5.4573486666666671E-2"/>
    <x v="0"/>
    <n v="7.0000000000000007E-2"/>
    <m/>
    <n v="2.7280000000000002"/>
  </r>
  <r>
    <x v="64"/>
    <n v="2006"/>
    <n v="0.33"/>
    <n v="0.02"/>
    <n v="0"/>
    <n v="0"/>
    <n v="0.26840000000000003"/>
    <n v="6.5000000000000002E-2"/>
    <n v="0.14000000000000001"/>
    <n v="0"/>
    <n v="0.11"/>
    <n v="0"/>
    <n v="0.1"/>
    <n v="0.14477142857142858"/>
    <n v="0.18575723599999999"/>
    <n v="6.603210666666666E-2"/>
    <x v="0"/>
    <n v="7.0000000000000007E-2"/>
    <m/>
    <n v="2.8969999999999998"/>
  </r>
  <r>
    <x v="65"/>
    <n v="2006"/>
    <n v="0.37"/>
    <n v="0.06"/>
    <n v="0"/>
    <n v="0"/>
    <n v="0.30499999999999999"/>
    <n v="0.1"/>
    <n v="0.19"/>
    <n v="0"/>
    <n v="0.15"/>
    <n v="0"/>
    <n v="0.13"/>
    <n v="0.17785714285714288"/>
    <n v="0.21967030000000001"/>
    <n v="6.6949800000000004E-2"/>
    <x v="0"/>
    <n v="7.0000000000000007E-2"/>
    <m/>
    <n v="2.8980000000000001"/>
  </r>
  <r>
    <x v="66"/>
    <n v="2006"/>
    <n v="0.42"/>
    <n v="0.1"/>
    <n v="0"/>
    <n v="0"/>
    <n v="0.33550000000000002"/>
    <n v="0.13500000000000001"/>
    <n v="0.23"/>
    <n v="0"/>
    <n v="0.19"/>
    <n v="0"/>
    <n v="0.16"/>
    <n v="0.21007142857142855"/>
    <n v="0.25473586999999998"/>
    <n v="6.0531956666666664E-2"/>
    <x v="0"/>
    <n v="7.0000000000000007E-2"/>
    <m/>
    <n v="2.9340000000000002"/>
  </r>
  <r>
    <x v="67"/>
    <n v="2006"/>
    <n v="0.42"/>
    <n v="0.1"/>
    <n v="0"/>
    <n v="0"/>
    <n v="0.33550000000000002"/>
    <n v="0.14000000000000001"/>
    <n v="0.23"/>
    <n v="0"/>
    <n v="0.19"/>
    <n v="0"/>
    <n v="0.16"/>
    <n v="0.2107857142857143"/>
    <n v="0.25544836999999998"/>
    <n v="6.3382930000000004E-2"/>
    <x v="0"/>
    <n v="7.0000000000000007E-2"/>
    <m/>
    <n v="3.0449999999999999"/>
  </r>
  <r>
    <x v="68"/>
    <n v="2006"/>
    <n v="0.43"/>
    <n v="0.11"/>
    <n v="0"/>
    <n v="0"/>
    <n v="0.34770000000000001"/>
    <n v="0.14499999999999999"/>
    <n v="0.24"/>
    <n v="0"/>
    <n v="0.2"/>
    <n v="0"/>
    <n v="0.17"/>
    <n v="0.21895714285714285"/>
    <n v="0.264068258"/>
    <n v="7.3646096666666661E-2"/>
    <x v="0"/>
    <n v="7.0000000000000007E-2"/>
    <m/>
    <n v="2.7829999999999999"/>
  </r>
  <r>
    <x v="69"/>
    <n v="2006"/>
    <n v="0.45"/>
    <n v="0.14000000000000001"/>
    <n v="0"/>
    <n v="0"/>
    <n v="0.36599999999999999"/>
    <n v="0.17"/>
    <n v="0.27"/>
    <n v="0"/>
    <n v="0.23"/>
    <n v="0"/>
    <n v="0.19"/>
    <n v="0.23942857142857146"/>
    <n v="0.28365284000000002"/>
    <n v="8.6207760000000008E-2"/>
    <x v="0"/>
    <n v="7.0000000000000007E-2"/>
    <m/>
    <n v="2.5190000000000001"/>
  </r>
  <r>
    <x v="70"/>
    <n v="2006"/>
    <n v="0.39"/>
    <n v="0.08"/>
    <n v="0"/>
    <n v="0"/>
    <n v="0.31719999999999998"/>
    <n v="0.12"/>
    <n v="0.2"/>
    <n v="0"/>
    <n v="0.17"/>
    <n v="0"/>
    <n v="0.14000000000000001"/>
    <n v="0.19102857142857146"/>
    <n v="0.23367288800000002"/>
    <n v="0.11023205999999998"/>
    <x v="0"/>
    <n v="7.0000000000000007E-2"/>
    <m/>
    <n v="2.5449999999999999"/>
  </r>
  <r>
    <x v="71"/>
    <n v="2006"/>
    <n v="0.32"/>
    <n v="0.01"/>
    <n v="0"/>
    <n v="0"/>
    <n v="0.26229999999999998"/>
    <n v="0.06"/>
    <n v="0.13"/>
    <n v="0"/>
    <n v="0.1"/>
    <n v="0"/>
    <n v="0.09"/>
    <n v="0.13747142857142858"/>
    <n v="0.17808004199999999"/>
    <n v="0.13777909333333332"/>
    <x v="0"/>
    <n v="7.0000000000000007E-2"/>
    <n v="7.0000000000000007E-2"/>
    <n v="2.61"/>
  </r>
  <r>
    <x v="72"/>
    <n v="2007"/>
    <n v="0.33"/>
    <n v="0.02"/>
    <n v="0"/>
    <n v="0"/>
    <n v="0.26840000000000003"/>
    <n v="6.5000000000000002E-2"/>
    <n v="0.14000000000000001"/>
    <n v="0"/>
    <n v="0.11"/>
    <n v="0"/>
    <n v="0.09"/>
    <n v="0.14334285714285716"/>
    <n v="0.18617252000000001"/>
    <n v="0.10539420333333333"/>
    <x v="0"/>
    <n v="7.0000000000000007E-2"/>
    <n v="7.0000000000000007E-2"/>
    <n v="2.4849999999999999"/>
  </r>
  <r>
    <x v="73"/>
    <n v="2007"/>
    <n v="0.35"/>
    <n v="0.03"/>
    <n v="0"/>
    <n v="0"/>
    <n v="0.28060000000000002"/>
    <n v="0.08"/>
    <n v="0.16"/>
    <n v="0"/>
    <n v="0.12"/>
    <n v="0"/>
    <n v="0.11"/>
    <n v="0.15722857142857144"/>
    <n v="0.20207817999999997"/>
    <n v="9.0690590000000001E-2"/>
    <x v="0"/>
    <n v="7.0000000000000007E-2"/>
    <n v="7.0000000000000007E-2"/>
    <n v="2.488"/>
  </r>
  <r>
    <x v="74"/>
    <n v="2007"/>
    <n v="0.31"/>
    <n v="0"/>
    <n v="0"/>
    <n v="0"/>
    <n v="0.25619999999999998"/>
    <n v="0.05"/>
    <n v="0.13"/>
    <n v="0"/>
    <n v="0.09"/>
    <n v="0"/>
    <n v="0.08"/>
    <n v="0.1308857142857143"/>
    <n v="0.17270386000000001"/>
    <n v="9.2592047999999982E-2"/>
    <x v="0"/>
    <n v="7.0000000000000007E-2"/>
    <n v="7.0000000000000007E-2"/>
    <n v="2.6669999999999998"/>
  </r>
  <r>
    <x v="75"/>
    <n v="2007"/>
    <n v="0.31"/>
    <n v="0"/>
    <n v="0"/>
    <n v="0"/>
    <n v="0.25619999999999998"/>
    <n v="5.8500000000000003E-2"/>
    <n v="0.13"/>
    <n v="0"/>
    <n v="0.09"/>
    <n v="0"/>
    <n v="0.08"/>
    <n v="0.1321"/>
    <n v="0.17392785999999999"/>
    <n v="9.6797664666666658E-2"/>
    <x v="0"/>
    <n v="7.0000000000000007E-2"/>
    <n v="7.0000000000000007E-2"/>
    <n v="2.8340000000000001"/>
  </r>
  <r>
    <x v="76"/>
    <n v="2007"/>
    <n v="0.36"/>
    <n v="0.05"/>
    <n v="0"/>
    <n v="0"/>
    <n v="0.2928"/>
    <n v="0.1051"/>
    <n v="0.17"/>
    <n v="0"/>
    <n v="0.14000000000000001"/>
    <n v="0"/>
    <n v="0.12"/>
    <n v="0.16969999999999999"/>
    <n v="0.21378823999999996"/>
    <n v="0.11245475866666665"/>
    <x v="0"/>
    <n v="7.0000000000000007E-2"/>
    <n v="7.0000000000000007E-2"/>
    <n v="2.7959999999999998"/>
  </r>
  <r>
    <x v="77"/>
    <n v="2007"/>
    <n v="0.4"/>
    <n v="0.09"/>
    <n v="0"/>
    <n v="0"/>
    <n v="0.32329999999999998"/>
    <n v="0.1419"/>
    <n v="0.21"/>
    <n v="0"/>
    <n v="0.18"/>
    <n v="0"/>
    <n v="0.15"/>
    <n v="0.20074285714285714"/>
    <n v="0.24614859"/>
    <n v="0.13002230000000001"/>
    <x v="0"/>
    <n v="7.0000000000000007E-2"/>
    <n v="7.0000000000000007E-2"/>
    <n v="2.8079999999999998"/>
  </r>
  <r>
    <x v="78"/>
    <n v="2007"/>
    <n v="0.39"/>
    <n v="0.08"/>
    <n v="0"/>
    <n v="0"/>
    <n v="0.31719999999999998"/>
    <n v="0.12590000000000001"/>
    <n v="0.2"/>
    <n v="0"/>
    <n v="0.17"/>
    <n v="0"/>
    <n v="0.14000000000000001"/>
    <n v="0.19187142857142861"/>
    <n v="0.23686975999999998"/>
    <n v="0.13796572666666665"/>
    <x v="0"/>
    <n v="7.4999999999999997E-2"/>
    <n v="7.0000000000000007E-2"/>
    <n v="2.8679999999999999"/>
  </r>
  <r>
    <x v="79"/>
    <n v="2007"/>
    <n v="0.39"/>
    <n v="0.08"/>
    <n v="0"/>
    <n v="0"/>
    <n v="0.32329999999999998"/>
    <n v="0.12790000000000001"/>
    <n v="0.21"/>
    <n v="0"/>
    <n v="0.17"/>
    <n v="0"/>
    <n v="0.15"/>
    <n v="0.19588571428571427"/>
    <n v="0.24071559000000001"/>
    <n v="0.14225555999999998"/>
    <x v="0"/>
    <n v="7.4999999999999997E-2"/>
    <n v="7.0000000000000007E-2"/>
    <n v="2.8690000000000002"/>
  </r>
  <r>
    <x v="80"/>
    <n v="2007"/>
    <n v="0.41"/>
    <n v="0.1"/>
    <n v="0"/>
    <n v="0"/>
    <n v="0.32940000000000003"/>
    <n v="0.1366"/>
    <n v="0.22"/>
    <n v="0"/>
    <n v="0.19"/>
    <n v="0"/>
    <n v="0.16"/>
    <n v="0.20657142857142857"/>
    <n v="0.25236022000000002"/>
    <n v="0.15512199599999998"/>
    <x v="0"/>
    <n v="7.4999999999999997E-2"/>
    <n v="7.0000000000000007E-2"/>
    <n v="2.9529999999999998"/>
  </r>
  <r>
    <x v="81"/>
    <n v="2007"/>
    <n v="0.41"/>
    <n v="0.1"/>
    <n v="0"/>
    <n v="0"/>
    <n v="0.32940000000000003"/>
    <n v="0.13769999999999999"/>
    <n v="0.22"/>
    <n v="0"/>
    <n v="0.19"/>
    <n v="0"/>
    <n v="0.16"/>
    <n v="0.2067285714285714"/>
    <n v="0.25251862000000003"/>
    <n v="0.17301049333333332"/>
    <x v="0"/>
    <n v="7.4999999999999997E-2"/>
    <n v="7.4999999999999997E-2"/>
    <n v="3.0750000000000002"/>
  </r>
  <r>
    <x v="82"/>
    <n v="2007"/>
    <n v="0.43"/>
    <n v="0.12"/>
    <n v="0"/>
    <n v="0"/>
    <n v="0.34770000000000001"/>
    <n v="0.1537"/>
    <n v="0.24"/>
    <n v="0"/>
    <n v="0.21"/>
    <n v="0"/>
    <n v="0.18"/>
    <n v="0.22305714285714284"/>
    <n v="0.26968911000000001"/>
    <n v="0.18037480933333336"/>
    <x v="0"/>
    <n v="7.4999999999999997E-2"/>
    <n v="7.4999999999999997E-2"/>
    <n v="3.3959999999999999"/>
  </r>
  <r>
    <x v="83"/>
    <n v="2007"/>
    <n v="0.46"/>
    <n v="0.15"/>
    <n v="0"/>
    <n v="0"/>
    <n v="0.37209999999999999"/>
    <n v="0.17499999999999999"/>
    <n v="0.27"/>
    <n v="0"/>
    <n v="0.24"/>
    <n v="0"/>
    <n v="0.2"/>
    <n v="0.24530000000000002"/>
    <n v="0.29284262999999999"/>
    <n v="0.18939089399999998"/>
    <x v="0"/>
    <n v="7.4999999999999997E-2"/>
    <n v="7.4999999999999997E-2"/>
    <n v="3.3410000000000002"/>
  </r>
  <r>
    <x v="84"/>
    <n v="2008"/>
    <n v="0.54"/>
    <n v="0.23"/>
    <n v="0.04"/>
    <n v="0.03"/>
    <n v="0.43919999999999998"/>
    <n v="0.24"/>
    <n v="0.35"/>
    <n v="0"/>
    <n v="0.32"/>
    <n v="0"/>
    <n v="0.26"/>
    <n v="0.30702857142857143"/>
    <n v="0.35635390591122984"/>
    <n v="0.15916581666666665"/>
    <x v="0"/>
    <n v="7.4999999999999997E-2"/>
    <n v="7.4999999999999997E-2"/>
    <n v="3.3079999999999998"/>
  </r>
  <r>
    <x v="85"/>
    <n v="2008"/>
    <n v="0.53"/>
    <n v="0.22"/>
    <n v="0.03"/>
    <n v="0.02"/>
    <n v="0.42699999999999999"/>
    <n v="0.23"/>
    <n v="0.34"/>
    <n v="0"/>
    <n v="0.31"/>
    <n v="0"/>
    <n v="0.25"/>
    <n v="0.29814285714285715"/>
    <n v="0.3470046560150355"/>
    <n v="0.14848551999999995"/>
    <x v="0"/>
    <n v="7.4999999999999997E-2"/>
    <n v="7.4999999999999997E-2"/>
    <n v="3.3769999999999998"/>
  </r>
  <r>
    <x v="86"/>
    <n v="2008"/>
    <n v="0.52"/>
    <n v="0.21"/>
    <n v="0.02"/>
    <n v="0.02"/>
    <n v="0.4209"/>
    <n v="0.22500000000000001"/>
    <n v="0.33"/>
    <n v="0"/>
    <n v="0.3"/>
    <n v="0"/>
    <n v="0.25"/>
    <n v="0.29227142857142863"/>
    <n v="0.34111017640637997"/>
    <n v="0.1390097313333333"/>
    <x v="0"/>
    <n v="0.08"/>
    <n v="7.4999999999999997E-2"/>
    <n v="3.8809999999999998"/>
  </r>
  <r>
    <x v="87"/>
    <n v="2008"/>
    <n v="0.54"/>
    <n v="0.22"/>
    <n v="0.04"/>
    <n v="0.03"/>
    <n v="0.4083"/>
    <n v="0.23499999999999999"/>
    <n v="0.35"/>
    <n v="0"/>
    <n v="0.31"/>
    <n v="0"/>
    <n v="0.26"/>
    <n v="0.30047142857142856"/>
    <n v="0.35132235956904256"/>
    <n v="0.14234477799999998"/>
    <x v="0"/>
    <n v="0.08"/>
    <n v="7.4999999999999997E-2"/>
    <n v="4.0839999999999996"/>
  </r>
  <r>
    <x v="88"/>
    <n v="2008"/>
    <n v="0.66"/>
    <n v="0.35"/>
    <n v="0.16"/>
    <n v="0.13"/>
    <n v="0.30480000000000002"/>
    <n v="0.34"/>
    <n v="0.48"/>
    <n v="0.04"/>
    <n v="0.44"/>
    <n v="0"/>
    <n v="0.36"/>
    <n v="0.36925714285714284"/>
    <n v="0.42596585236245604"/>
    <n v="0.17001009533333331"/>
    <x v="0"/>
    <n v="0.08"/>
    <n v="7.4999999999999997E-2"/>
    <n v="4.4249999999999998"/>
  </r>
  <r>
    <x v="89"/>
    <n v="2008"/>
    <n v="0.71"/>
    <n v="0.4"/>
    <n v="0.21"/>
    <n v="0.17"/>
    <n v="0.34499999999999997"/>
    <n v="0.38500000000000001"/>
    <n v="0.53"/>
    <n v="0.09"/>
    <n v="0.49"/>
    <n v="0"/>
    <n v="0.4"/>
    <n v="0.40857142857142853"/>
    <n v="0.46735050258047678"/>
    <n v="0.19580728"/>
    <x v="0"/>
    <n v="0.08"/>
    <n v="7.4999999999999997E-2"/>
    <n v="4.6769999999999996"/>
  </r>
  <r>
    <x v="90"/>
    <n v="2008"/>
    <n v="0.8"/>
    <n v="0.49"/>
    <n v="0.3"/>
    <n v="0.24"/>
    <n v="0.4083"/>
    <n v="0.45500000000000002"/>
    <n v="0.61"/>
    <n v="0.17"/>
    <n v="0.57999999999999996"/>
    <n v="0"/>
    <n v="0.47"/>
    <n v="0.47475714285714282"/>
    <n v="0.53774135721458038"/>
    <n v="0.19907195666666666"/>
    <x v="0"/>
    <n v="0.08"/>
    <n v="7.4999999999999997E-2"/>
    <n v="4.7030000000000003"/>
  </r>
  <r>
    <x v="91"/>
    <n v="2008"/>
    <n v="0.86"/>
    <n v="0.55000000000000004"/>
    <n v="0.36"/>
    <n v="0.28999999999999998"/>
    <n v="0.46"/>
    <n v="0.51"/>
    <n v="0.67"/>
    <n v="0.24"/>
    <n v="0.64"/>
    <n v="0"/>
    <n v="0.52"/>
    <n v="0.52285714285714291"/>
    <n v="0.5883844559490139"/>
    <n v="0.20592230333333331"/>
    <x v="0"/>
    <n v="0.08"/>
    <n v="7.4999999999999997E-2"/>
    <n v="4.3019999999999996"/>
  </r>
  <r>
    <x v="92"/>
    <n v="2008"/>
    <n v="0.87"/>
    <n v="0.56000000000000005"/>
    <n v="0.37"/>
    <n v="0.3"/>
    <n v="0.46579999999999999"/>
    <n v="0.51500000000000001"/>
    <n v="0.68"/>
    <n v="0.24"/>
    <n v="0.65"/>
    <n v="0"/>
    <n v="0.53"/>
    <n v="0.53011428571428565"/>
    <n v="0.59609819395385166"/>
    <n v="0.22139171266666668"/>
    <x v="0"/>
    <n v="0.08"/>
    <n v="0.08"/>
    <n v="4.024"/>
  </r>
  <r>
    <x v="93"/>
    <n v="2008"/>
    <n v="0.77"/>
    <n v="0.46"/>
    <n v="0.27"/>
    <n v="0.22"/>
    <n v="0.38529999999999998"/>
    <n v="0.43"/>
    <n v="0.57999999999999996"/>
    <n v="0.14000000000000001"/>
    <n v="0.55000000000000004"/>
    <n v="0"/>
    <n v="0.45"/>
    <n v="0.4521857142857143"/>
    <n v="0.51412124973976692"/>
    <n v="0.23646863333333334"/>
    <x v="0"/>
    <n v="0.09"/>
    <n v="8.5000000000000006E-2"/>
    <n v="3.5760000000000001"/>
  </r>
  <r>
    <x v="94"/>
    <n v="2008"/>
    <n v="0.7"/>
    <n v="0.39"/>
    <n v="0.2"/>
    <n v="0.16"/>
    <n v="0.33350000000000002"/>
    <n v="0.37"/>
    <n v="0.51"/>
    <n v="7.0000000000000007E-2"/>
    <n v="0.48"/>
    <n v="0"/>
    <n v="0.39"/>
    <n v="0.39764285714285724"/>
    <n v="0.45650379566443111"/>
    <n v="0.24669206933333335"/>
    <x v="0"/>
    <n v="0.1"/>
    <n v="8.5000000000000006E-2"/>
    <n v="2.8759999999999999"/>
  </r>
  <r>
    <x v="95"/>
    <n v="2008"/>
    <n v="0.59"/>
    <n v="0.27"/>
    <n v="0.09"/>
    <n v="7.0000000000000007E-2"/>
    <n v="0.24729999999999999"/>
    <n v="0.28000000000000003"/>
    <n v="0.4"/>
    <n v="0"/>
    <n v="0.36"/>
    <n v="0"/>
    <n v="0.3"/>
    <n v="0.31104285714285712"/>
    <n v="0.36660809891271473"/>
    <n v="0.25424200399999997"/>
    <x v="0"/>
    <n v="0.105"/>
    <n v="0.09"/>
    <n v="2.4489999999999998"/>
  </r>
  <r>
    <x v="96"/>
    <n v="2009"/>
    <n v="0.41"/>
    <n v="0.1"/>
    <n v="0"/>
    <n v="0"/>
    <n v="0.115"/>
    <n v="5.2500000000000005E-2"/>
    <n v="0.22"/>
    <n v="0"/>
    <n v="0.19"/>
    <n v="0"/>
    <n v="0.16"/>
    <n v="0.16392857142857142"/>
    <n v="0.20343900150211841"/>
    <n v="0.24466408530374328"/>
    <x v="0"/>
    <n v="0.11"/>
    <n v="0.09"/>
    <n v="2.2919999999999998"/>
  </r>
  <r>
    <x v="97"/>
    <n v="2009"/>
    <n v="0.3"/>
    <n v="-0.01"/>
    <n v="0"/>
    <n v="0"/>
    <n v="2.8799999999999999E-2"/>
    <n v="1.2500000000000001E-2"/>
    <n v="0.12"/>
    <n v="0"/>
    <n v="0.08"/>
    <n v="0"/>
    <n v="7.0000000000000007E-2"/>
    <n v="8.7328571428571422E-2"/>
    <n v="0.12414724921689342"/>
    <n v="0.23704413200501184"/>
    <x v="0"/>
    <n v="9.5000000000000001E-2"/>
    <n v="9.5000000000000001E-2"/>
    <n v="2.1949999999999998"/>
  </r>
  <r>
    <x v="98"/>
    <n v="2009"/>
    <n v="0.27"/>
    <n v="-0.05"/>
    <n v="0"/>
    <n v="0"/>
    <n v="0"/>
    <n v="2.5000000000000001E-3"/>
    <n v="0.08"/>
    <n v="0"/>
    <n v="0"/>
    <n v="0"/>
    <n v="0"/>
    <n v="5.0357142857142864E-2"/>
    <n v="9.1841776312545823E-2"/>
    <n v="0.22752056346879332"/>
    <x v="0"/>
    <n v="9.5000000000000001E-2"/>
    <n v="9.5000000000000001E-2"/>
    <n v="2.0920000000000001"/>
  </r>
  <r>
    <x v="99"/>
    <n v="2009"/>
    <n v="0.24"/>
    <n v="-7.0000000000000007E-2"/>
    <n v="0"/>
    <n v="0"/>
    <n v="0"/>
    <n v="0"/>
    <n v="0.05"/>
    <n v="0"/>
    <n v="0"/>
    <n v="0"/>
    <n v="0"/>
    <n v="4.1428571428571426E-2"/>
    <n v="7.9761416264293949E-2"/>
    <n v="0.23133262452301415"/>
    <x v="0"/>
    <n v="9.5000000000000001E-2"/>
    <n v="9.5000000000000001E-2"/>
    <n v="2.2200000000000002"/>
  </r>
  <r>
    <x v="100"/>
    <n v="2009"/>
    <n v="0.22"/>
    <n v="-0.1"/>
    <n v="0"/>
    <n v="0"/>
    <n v="0"/>
    <n v="0"/>
    <n v="0.03"/>
    <n v="0"/>
    <n v="0"/>
    <n v="0"/>
    <n v="0"/>
    <n v="3.5714285714285712E-2"/>
    <n v="7.201891288699272E-2"/>
    <n v="0.27517044278748531"/>
    <x v="0"/>
    <n v="9.5000000000000001E-2"/>
    <n v="9.5000000000000001E-2"/>
    <n v="2.2269999999999999"/>
  </r>
  <r>
    <x v="101"/>
    <n v="2009"/>
    <n v="0.25"/>
    <n v="-0.06"/>
    <n v="0"/>
    <n v="0"/>
    <n v="0"/>
    <n v="2.5000000000000001E-3"/>
    <n v="0.06"/>
    <n v="0"/>
    <n v="0"/>
    <n v="0"/>
    <n v="0"/>
    <n v="4.4642857142857144E-2"/>
    <n v="8.4099272935244565E-2"/>
    <n v="0.31105646419349225"/>
    <x v="0"/>
    <n v="0.115"/>
    <n v="0.115"/>
    <n v="2.5289999999999999"/>
  </r>
  <r>
    <x v="102"/>
    <n v="2009"/>
    <n v="0.25"/>
    <n v="-0.06"/>
    <n v="0"/>
    <n v="0"/>
    <n v="0"/>
    <n v="5.7499999999999996E-2"/>
    <n v="0.06"/>
    <n v="0"/>
    <n v="0"/>
    <n v="0"/>
    <n v="0"/>
    <n v="5.2499999999999998E-2"/>
    <n v="9.4364582545844192E-2"/>
    <n v="0.34311566240486013"/>
    <x v="0"/>
    <n v="0.115"/>
    <n v="0.115"/>
    <n v="2.54"/>
  </r>
  <r>
    <x v="103"/>
    <n v="2009"/>
    <n v="0.32"/>
    <n v="0.01"/>
    <n v="0"/>
    <n v="0"/>
    <n v="4.5999999999999999E-2"/>
    <n v="6.7500000000000004E-2"/>
    <n v="0.14000000000000001"/>
    <n v="0"/>
    <n v="0.1"/>
    <n v="0"/>
    <n v="0.09"/>
    <n v="0.10907142857142857"/>
    <n v="0.14844290043617311"/>
    <n v="0.36151613864967125"/>
    <x v="0"/>
    <n v="0.13"/>
    <n v="0.13500000000000001"/>
    <n v="2.6339999999999999"/>
  </r>
  <r>
    <x v="104"/>
    <n v="2009"/>
    <n v="0.33"/>
    <n v="0.02"/>
    <n v="0"/>
    <n v="0"/>
    <n v="5.1799999999999999E-2"/>
    <n v="8.249999999999999E-2"/>
    <n v="0.14000000000000001"/>
    <n v="0"/>
    <n v="0.11"/>
    <n v="0"/>
    <n v="0.09"/>
    <n v="0.1149"/>
    <n v="0.15542483412602676"/>
    <n v="0.37084222398461719"/>
    <x v="0"/>
    <n v="0.13"/>
    <n v="0.13500000000000001"/>
    <n v="2.6259999999999999"/>
  </r>
  <r>
    <x v="105"/>
    <n v="2009"/>
    <n v="0.35"/>
    <n v="0.04"/>
    <n v="0"/>
    <n v="0"/>
    <n v="6.9000000000000006E-2"/>
    <n v="8.4999999999999992E-2"/>
    <n v="0.16"/>
    <n v="0"/>
    <n v="0.13"/>
    <n v="0"/>
    <n v="0.11"/>
    <n v="0.12914285714285714"/>
    <n v="0.16992178071700681"/>
    <n v="0.35009756991325564"/>
    <x v="0"/>
    <n v="0.13500000000000001"/>
    <n v="0.14000000000000001"/>
    <n v="2.6720000000000002"/>
  </r>
  <r>
    <x v="106"/>
    <n v="2009"/>
    <n v="0.35"/>
    <n v="0.04"/>
    <n v="0"/>
    <n v="0"/>
    <n v="6.3299999999999995E-2"/>
    <n v="8.4999999999999992E-2"/>
    <n v="0.16"/>
    <n v="0"/>
    <n v="0.13"/>
    <n v="0"/>
    <n v="0.11"/>
    <n v="0.12832857142857143"/>
    <n v="0.16917445958249655"/>
    <n v="0.31995526455481044"/>
    <x v="0"/>
    <n v="0.13500000000000001"/>
    <n v="0.14499999999999999"/>
    <n v="2.7919999999999998"/>
  </r>
  <r>
    <x v="107"/>
    <n v="2009"/>
    <n v="0.36"/>
    <n v="0.05"/>
    <n v="0"/>
    <n v="0"/>
    <n v="7.4800000000000005E-2"/>
    <n v="0.11749999999999999"/>
    <n v="0.17"/>
    <n v="0"/>
    <n v="0.14000000000000001"/>
    <n v="0"/>
    <n v="0.12"/>
    <n v="0.14032857142857144"/>
    <n v="0.18263571117253979"/>
    <n v="0.27917692363757157"/>
    <x v="0"/>
    <n v="0.13500000000000001"/>
    <n v="0.14499999999999999"/>
    <n v="2.7450000000000001"/>
  </r>
  <r>
    <x v="108"/>
    <n v="2010"/>
    <n v="0.39"/>
    <n v="0.08"/>
    <n v="0"/>
    <n v="0"/>
    <n v="9.7799999999999998E-2"/>
    <n v="0.1075"/>
    <n v="0.2"/>
    <n v="0"/>
    <n v="0.17"/>
    <n v="0"/>
    <n v="0.14000000000000001"/>
    <n v="0.15790000000000001"/>
    <n v="0.20389502830428408"/>
    <n v="0.24865514247111609"/>
    <x v="0"/>
    <n v="0.14000000000000001"/>
    <n v="0.14499999999999999"/>
    <n v="2.8450000000000002"/>
  </r>
  <r>
    <x v="109"/>
    <n v="2010"/>
    <n v="0.38"/>
    <n v="7.0000000000000007E-2"/>
    <n v="0"/>
    <n v="0"/>
    <n v="8.6300000000000002E-2"/>
    <n v="0.125"/>
    <n v="0.19"/>
    <n v="0"/>
    <n v="0.16"/>
    <n v="0"/>
    <n v="0.13"/>
    <n v="0.15304285714285712"/>
    <n v="0.19940639441078409"/>
    <n v="0.22441002841064295"/>
    <x v="0"/>
    <n v="0.14000000000000001"/>
    <n v="0.14499999999999999"/>
    <n v="2.7850000000000001"/>
  </r>
  <r>
    <x v="110"/>
    <n v="2010"/>
    <n v="0.4"/>
    <n v="0.09"/>
    <n v="0"/>
    <n v="0"/>
    <n v="0.10929999999999999"/>
    <n v="0.11749999999999999"/>
    <n v="0.22"/>
    <n v="0"/>
    <n v="0.18"/>
    <n v="0"/>
    <n v="0.15"/>
    <n v="0.16811428571428569"/>
    <n v="0.21378054367493393"/>
    <n v="0.20188527090630859"/>
    <x v="0"/>
    <n v="0.14000000000000001"/>
    <n v="0.15"/>
    <n v="2.915"/>
  </r>
  <r>
    <x v="111"/>
    <n v="2010"/>
    <n v="0.39"/>
    <n v="0.08"/>
    <n v="0"/>
    <n v="0"/>
    <n v="9.7799999999999998E-2"/>
    <n v="0.14000000000000001"/>
    <n v="0.2"/>
    <n v="0"/>
    <n v="0.17"/>
    <n v="0"/>
    <n v="0.14000000000000001"/>
    <n v="0.16254285714285716"/>
    <n v="0.20946144769754066"/>
    <n v="0.20167054527777883"/>
    <x v="0"/>
    <n v="0.14499999999999999"/>
    <n v="0.15"/>
    <n v="3.0590000000000002"/>
  </r>
  <r>
    <x v="112"/>
    <n v="2010"/>
    <n v="0.42"/>
    <n v="0.11"/>
    <n v="0"/>
    <n v="0"/>
    <n v="0.1208"/>
    <n v="0.16499999999999998"/>
    <n v="0.23"/>
    <n v="0"/>
    <n v="0.2"/>
    <n v="0"/>
    <n v="0.17"/>
    <n v="0.18654285714285712"/>
    <n v="0.23477856895744104"/>
    <n v="0.23725766841648291"/>
    <x v="0"/>
    <n v="0.14499999999999999"/>
    <n v="0.155"/>
    <n v="3.069"/>
  </r>
  <r>
    <x v="113"/>
    <n v="2010"/>
    <n v="0.46"/>
    <n v="0.14000000000000001"/>
    <n v="0"/>
    <n v="0"/>
    <n v="0.14949999999999999"/>
    <n v="0.17749999999999999"/>
    <n v="0.27"/>
    <n v="0"/>
    <n v="0.23"/>
    <n v="0"/>
    <n v="0.2"/>
    <n v="0.21242857142857141"/>
    <n v="0.26269544345419421"/>
    <n v="0.26586612183857378"/>
    <x v="0"/>
    <n v="0.14499999999999999"/>
    <n v="0.155"/>
    <n v="2.948"/>
  </r>
  <r>
    <x v="114"/>
    <n v="2010"/>
    <n v="0.46"/>
    <n v="0.15"/>
    <n v="0"/>
    <n v="0"/>
    <n v="0.14949999999999999"/>
    <n v="0.14749999999999999"/>
    <n v="0.27"/>
    <n v="0"/>
    <n v="0.24"/>
    <n v="0"/>
    <n v="0.2"/>
    <n v="0.20957142857142858"/>
    <n v="0.2577764619797997"/>
    <n v="0.28965856658680816"/>
    <x v="0"/>
    <n v="0.15"/>
    <n v="0.155"/>
    <n v="2.911"/>
  </r>
  <r>
    <x v="115"/>
    <n v="2010"/>
    <n v="0.43"/>
    <n v="0.12"/>
    <n v="0"/>
    <n v="0"/>
    <n v="0.1265"/>
    <n v="0.14250000000000002"/>
    <n v="0.24"/>
    <n v="0"/>
    <n v="0.21"/>
    <n v="0"/>
    <n v="0.17"/>
    <n v="0.18842857142857142"/>
    <n v="0.23588482957728804"/>
    <n v="0.32584764879506234"/>
    <x v="0"/>
    <n v="0.15"/>
    <n v="0.16"/>
    <n v="2.9590000000000001"/>
  </r>
  <r>
    <x v="116"/>
    <n v="2010"/>
    <n v="0.42"/>
    <n v="0.11"/>
    <n v="0"/>
    <n v="0"/>
    <n v="0.1208"/>
    <n v="0.15"/>
    <n v="0.23"/>
    <n v="0"/>
    <n v="0.2"/>
    <n v="0"/>
    <n v="0.17"/>
    <n v="0.18439999999999998"/>
    <n v="0.23220945231439954"/>
    <n v="0.33462774935995948"/>
    <x v="0"/>
    <n v="0.155"/>
    <n v="0.16"/>
    <n v="2.9460000000000002"/>
  </r>
  <r>
    <x v="117"/>
    <n v="2010"/>
    <n v="0.43"/>
    <n v="0.12"/>
    <n v="0"/>
    <n v="0"/>
    <n v="0.1265"/>
    <n v="0.14749999999999999"/>
    <n v="0.24"/>
    <n v="0"/>
    <n v="0.21"/>
    <n v="0"/>
    <n v="0.18"/>
    <n v="0.19057142857142856"/>
    <n v="0.23854974298056819"/>
    <n v="0.31218721681892458"/>
    <x v="0"/>
    <n v="0.155"/>
    <n v="0.16500000000000001"/>
    <n v="3.052"/>
  </r>
  <r>
    <x v="118"/>
    <n v="2010"/>
    <n v="0.43"/>
    <n v="0.12"/>
    <n v="0"/>
    <n v="0"/>
    <n v="0.1265"/>
    <n v="0.16749999999999998"/>
    <n v="0.24"/>
    <n v="0"/>
    <n v="0.21"/>
    <n v="0"/>
    <n v="0.17"/>
    <n v="0.19199999999999998"/>
    <n v="0.24016669064902385"/>
    <n v="0.29845578841564252"/>
    <x v="0"/>
    <n v="0.155"/>
    <n v="0.16500000000000001"/>
    <n v="3.14"/>
  </r>
  <r>
    <x v="119"/>
    <n v="2010"/>
    <n v="0.46"/>
    <n v="0.14000000000000001"/>
    <n v="0"/>
    <n v="0"/>
    <n v="0.14949999999999999"/>
    <n v="0.1875"/>
    <n v="0.27"/>
    <n v="0"/>
    <n v="0.23"/>
    <n v="0"/>
    <n v="0.2"/>
    <n v="0.21385714285714288"/>
    <n v="0.2644081878828885"/>
    <n v="0.28069548002841821"/>
    <x v="0"/>
    <n v="0.16"/>
    <n v="0.16500000000000001"/>
    <n v="3.2429999999999999"/>
  </r>
  <r>
    <x v="120"/>
    <n v="2011"/>
    <n v="0.48"/>
    <n v="0.17"/>
    <n v="0"/>
    <n v="0"/>
    <n v="0.1668"/>
    <n v="0.20250000000000001"/>
    <n v="0.28999999999999998"/>
    <n v="0"/>
    <n v="0.26"/>
    <n v="0"/>
    <n v="0.21"/>
    <n v="0.22989999999999999"/>
    <n v="0.2820631847897761"/>
    <n v="0.25456264523921074"/>
    <x v="0"/>
    <n v="0.16"/>
    <n v="0.17"/>
    <n v="3.3879999999999999"/>
  </r>
  <r>
    <x v="121"/>
    <n v="2011"/>
    <n v="0.5"/>
    <n v="0.19"/>
    <n v="0"/>
    <n v="0"/>
    <n v="0.184"/>
    <n v="0.23749999999999999"/>
    <n v="0.32"/>
    <n v="0"/>
    <n v="0.28000000000000003"/>
    <n v="0"/>
    <n v="0.23"/>
    <n v="0.25021428571428572"/>
    <n v="0.30297165604295534"/>
    <n v="0.2235194332142377"/>
    <x v="0"/>
    <n v="0.16500000000000001"/>
    <n v="0.17"/>
    <n v="3.5840000000000001"/>
  </r>
  <r>
    <x v="122"/>
    <n v="2011"/>
    <n v="0.54"/>
    <n v="0.23"/>
    <n v="0.04"/>
    <n v="0.03"/>
    <n v="0.21279999999999999"/>
    <n v="0.26500000000000001"/>
    <n v="0.35"/>
    <n v="0"/>
    <n v="0.32"/>
    <n v="0"/>
    <n v="0.26"/>
    <n v="0.23397142857142855"/>
    <n v="0.22689206254906269"/>
    <n v="0.21557749879795321"/>
    <x v="0"/>
    <n v="0.16500000000000001"/>
    <n v="0.17499999999999999"/>
    <n v="3.9049999999999998"/>
  </r>
  <r>
    <x v="123"/>
    <n v="2011"/>
    <n v="0.59"/>
    <n v="0.28000000000000003"/>
    <n v="0.09"/>
    <n v="7.0000000000000007E-2"/>
    <n v="0.24729999999999999"/>
    <n v="0.33750000000000002"/>
    <n v="0.4"/>
    <n v="0"/>
    <n v="0.37"/>
    <n v="0"/>
    <n v="0.3"/>
    <n v="0.27640000000000003"/>
    <n v="0.27217886161961885"/>
    <n v="0.21351507451029239"/>
    <x v="0"/>
    <n v="0.17"/>
    <n v="0.17499999999999999"/>
    <n v="4.0640000000000001"/>
  </r>
  <r>
    <x v="124"/>
    <n v="2011"/>
    <n v="0.67"/>
    <n v="0.36"/>
    <n v="0.17"/>
    <n v="0.14000000000000001"/>
    <n v="0.3105"/>
    <n v="0.37"/>
    <n v="0.48"/>
    <n v="0.04"/>
    <n v="0.45"/>
    <n v="0"/>
    <n v="0.37"/>
    <n v="0.33435714285714285"/>
    <n v="0.33261392470248374"/>
    <n v="0.24425444473562993"/>
    <x v="0"/>
    <n v="0.17"/>
    <n v="0.17499999999999999"/>
    <n v="4.0469999999999997"/>
  </r>
  <r>
    <x v="125"/>
    <n v="2011"/>
    <n v="0.71"/>
    <n v="0.4"/>
    <n v="0.21"/>
    <n v="0.17"/>
    <n v="0.33929999999999999"/>
    <n v="0.38250000000000001"/>
    <n v="0.52"/>
    <n v="0.08"/>
    <n v="0.49"/>
    <n v="0"/>
    <n v="0.4"/>
    <n v="0.36168571428571428"/>
    <n v="0.36092844996388984"/>
    <n v="0.27138173965663853"/>
    <x v="0"/>
    <n v="0.17"/>
    <n v="0.18"/>
    <n v="3.9329999999999998"/>
  </r>
  <r>
    <x v="126"/>
    <n v="2011"/>
    <n v="0.7"/>
    <n v="0.39"/>
    <n v="0.2"/>
    <n v="0.16"/>
    <n v="0.33929999999999999"/>
    <n v="0.35499999999999998"/>
    <n v="0.52"/>
    <n v="0.08"/>
    <n v="0.48"/>
    <n v="0"/>
    <n v="0.39"/>
    <n v="0.35347142857142855"/>
    <n v="0.35078662027820517"/>
    <n v="0.29662746724674144"/>
    <x v="0"/>
    <n v="0.17499999999999999"/>
    <n v="0.18"/>
    <n v="3.9049999999999998"/>
  </r>
  <r>
    <x v="127"/>
    <n v="2011"/>
    <n v="0.68"/>
    <n v="0.36"/>
    <n v="0.18"/>
    <n v="0.14000000000000001"/>
    <n v="0.31630000000000003"/>
    <n v="0.34750000000000003"/>
    <n v="0.49"/>
    <n v="0.05"/>
    <n v="0.45"/>
    <n v="0"/>
    <n v="0.37"/>
    <n v="0.33340000000000003"/>
    <n v="0.33015180349797468"/>
    <n v="0.32423739532082502"/>
    <x v="0"/>
    <n v="0.17499999999999999"/>
    <n v="0.185"/>
    <n v="3.86"/>
  </r>
  <r>
    <x v="128"/>
    <n v="2011"/>
    <n v="0.67"/>
    <n v="0.36"/>
    <n v="0.17"/>
    <n v="0.14000000000000001"/>
    <n v="0.3105"/>
    <n v="0.33999999999999997"/>
    <n v="0.48"/>
    <n v="0.04"/>
    <n v="0.45"/>
    <n v="0"/>
    <n v="0.37"/>
    <n v="0.33007142857142852"/>
    <n v="0.32753842622539014"/>
    <n v="0.32791082679809264"/>
    <x v="0"/>
    <n v="0.18"/>
    <n v="0.185"/>
    <n v="3.8370000000000002"/>
  </r>
  <r>
    <x v="129"/>
    <n v="2011"/>
    <n v="0.66"/>
    <n v="0.35"/>
    <n v="0.16"/>
    <n v="0.13"/>
    <n v="0.30480000000000002"/>
    <n v="0.33500000000000002"/>
    <n v="0.47"/>
    <n v="0.03"/>
    <n v="0.44"/>
    <n v="0"/>
    <n v="0.36"/>
    <n v="0.32282857142857141"/>
    <n v="0.31987123295757847"/>
    <n v="0.30753092447911395"/>
    <x v="0"/>
    <n v="0.18"/>
    <n v="0.185"/>
    <n v="3.798"/>
  </r>
  <r>
    <x v="130"/>
    <n v="2011"/>
    <n v="0.65"/>
    <n v="0.34"/>
    <n v="0.15"/>
    <n v="0.12"/>
    <n v="0.29899999999999999"/>
    <n v="0.32"/>
    <n v="0.46"/>
    <n v="0.03"/>
    <n v="0.43"/>
    <n v="0"/>
    <n v="0.35"/>
    <n v="0.31414285714285711"/>
    <n v="0.31049969165070496"/>
    <n v="0.28861498196531715"/>
    <x v="0"/>
    <n v="0.185"/>
    <n v="0.19"/>
    <n v="3.9620000000000002"/>
  </r>
  <r>
    <x v="131"/>
    <n v="2011"/>
    <n v="0.64"/>
    <n v="0.33"/>
    <n v="0.14000000000000001"/>
    <n v="0.11"/>
    <n v="0.28749999999999998"/>
    <n v="0.35499999999999998"/>
    <n v="0.45"/>
    <n v="0.02"/>
    <n v="0.42"/>
    <n v="0"/>
    <n v="0.34"/>
    <n v="0.31178571428571422"/>
    <n v="0.30887394731057871"/>
    <n v="0.27121733265604769"/>
    <x v="0"/>
    <n v="0.185"/>
    <n v="0.19"/>
    <n v="3.8610000000000002"/>
  </r>
  <r>
    <x v="132"/>
    <n v="2012"/>
    <n v="0.68"/>
    <n v="0.37"/>
    <n v="0.18"/>
    <n v="0.15"/>
    <n v="0.32200000000000001"/>
    <n v="0.34499999999999997"/>
    <n v="0.5"/>
    <n v="0.06"/>
    <n v="0.46"/>
    <n v="0"/>
    <n v="0.38"/>
    <n v="0.33957142857142852"/>
    <n v="0.3335229579972202"/>
    <n v="0.22979907153205956"/>
    <x v="0"/>
    <n v="0.185"/>
    <n v="0.19500000000000001"/>
    <n v="3.8330000000000002"/>
  </r>
  <r>
    <x v="133"/>
    <n v="2012"/>
    <n v="0.66"/>
    <n v="0.35"/>
    <n v="0.16"/>
    <n v="0.13"/>
    <n v="0.30480000000000002"/>
    <n v="0.33"/>
    <n v="0.47"/>
    <n v="0.03"/>
    <n v="0.44"/>
    <n v="0"/>
    <n v="0.36"/>
    <n v="0.32211428571428569"/>
    <n v="0.3161807676335282"/>
    <n v="0.20884176655687761"/>
    <x v="0"/>
    <n v="0.19"/>
    <n v="0.19500000000000001"/>
    <n v="3.9529999999999998"/>
  </r>
  <r>
    <x v="134"/>
    <n v="2012"/>
    <n v="0.65"/>
    <n v="0.34"/>
    <n v="0.15"/>
    <n v="0.12"/>
    <n v="0.29899999999999999"/>
    <n v="0.34499999999999997"/>
    <n v="0.46"/>
    <n v="0.03"/>
    <n v="0.43"/>
    <n v="0"/>
    <n v="0.35"/>
    <n v="0.31771428571428567"/>
    <n v="0.31219932491325841"/>
    <n v="0.17750479417884749"/>
    <x v="0"/>
    <n v="0.19"/>
    <n v="0.2"/>
    <n v="4.1269999999999998"/>
  </r>
  <r>
    <x v="135"/>
    <n v="2012"/>
    <n v="0.68"/>
    <n v="0.37"/>
    <n v="0.18"/>
    <n v="0.15"/>
    <n v="0.32200000000000001"/>
    <n v="0.38750000000000001"/>
    <n v="0.49"/>
    <n v="0.06"/>
    <n v="0.46"/>
    <n v="0"/>
    <n v="0.38"/>
    <n v="0.34421428571428569"/>
    <n v="0.34054150437325625"/>
    <n v="0.18713390852715114"/>
    <x v="0"/>
    <n v="0.19500000000000001"/>
    <n v="0.2"/>
    <n v="4.1150000000000002"/>
  </r>
  <r>
    <x v="136"/>
    <n v="2012"/>
    <n v="0.72"/>
    <n v="0.41"/>
    <n v="0.22"/>
    <n v="0.18"/>
    <n v="0.3508"/>
    <n v="0.39250000000000002"/>
    <n v="0.54"/>
    <n v="0.1"/>
    <n v="0.5"/>
    <n v="0"/>
    <n v="0.41"/>
    <n v="0.37190000000000001"/>
    <n v="0.36777706576206387"/>
    <n v="0.21313713551563918"/>
    <x v="0"/>
    <n v="0.19500000000000001"/>
    <n v="0.2"/>
    <n v="3.9790000000000001"/>
  </r>
  <r>
    <x v="137"/>
    <n v="2012"/>
    <n v="0.72"/>
    <n v="0.41"/>
    <n v="0.22"/>
    <n v="0.18"/>
    <n v="0.3508"/>
    <n v="0.3725"/>
    <n v="0.53"/>
    <n v="0.1"/>
    <n v="0.5"/>
    <n v="0"/>
    <n v="0.41"/>
    <n v="0.36761428571428573"/>
    <n v="0.36362908513294762"/>
    <n v="0.23590772211777619"/>
    <x v="0"/>
    <n v="0.2"/>
    <n v="0.20499999999999999"/>
    <n v="3.7589999999999999"/>
  </r>
  <r>
    <x v="138"/>
    <n v="2012"/>
    <n v="0.69"/>
    <n v="0.37"/>
    <n v="0.19"/>
    <n v="0.15"/>
    <n v="0.32200000000000001"/>
    <n v="0.32500000000000001"/>
    <n v="0.5"/>
    <n v="0.06"/>
    <n v="0.46"/>
    <n v="0"/>
    <n v="0.38"/>
    <n v="0.33671428571428569"/>
    <n v="0.32994966935557146"/>
    <n v="0.23430922160128301"/>
    <x v="0"/>
    <n v="0.2"/>
    <n v="0.20499999999999999"/>
    <n v="3.7210000000000001"/>
  </r>
  <r>
    <x v="139"/>
    <n v="2012"/>
    <n v="0.63"/>
    <n v="0.32"/>
    <n v="0.13"/>
    <n v="0.11"/>
    <n v="0.28179999999999999"/>
    <n v="0.30499999999999999"/>
    <n v="0.44"/>
    <n v="0.01"/>
    <n v="0.41"/>
    <n v="0"/>
    <n v="0.34"/>
    <n v="0.29954285714285717"/>
    <n v="0.29260801879204568"/>
    <n v="0.23815984450381197"/>
    <x v="0"/>
    <n v="0.20499999999999999"/>
    <n v="0.21"/>
    <n v="3.9830000000000001"/>
  </r>
  <r>
    <x v="140"/>
    <n v="2012"/>
    <n v="0.62"/>
    <n v="0.31"/>
    <n v="0.12"/>
    <n v="0.1"/>
    <n v="0.27600000000000002"/>
    <n v="0.34750000000000003"/>
    <n v="0.44"/>
    <n v="0"/>
    <n v="0.4"/>
    <n v="0"/>
    <n v="0.33"/>
    <n v="0.30050000000000004"/>
    <n v="0.29411453994151043"/>
    <n v="0.23839090422193884"/>
    <x v="0"/>
    <n v="0.20499999999999999"/>
    <n v="0.21"/>
    <n v="4.12"/>
  </r>
  <r>
    <x v="141"/>
    <n v="2012"/>
    <n v="0.69"/>
    <n v="0.38"/>
    <n v="0.19"/>
    <n v="0.15"/>
    <n v="0.32779999999999998"/>
    <n v="0.39"/>
    <n v="0.5"/>
    <n v="0.06"/>
    <n v="0.47"/>
    <n v="0"/>
    <n v="0.38"/>
    <n v="0.34968571428571427"/>
    <n v="0.34600677159789595"/>
    <n v="0.24278091888505116"/>
    <x v="0"/>
    <n v="0.21"/>
    <n v="0.215"/>
    <n v="4.0940000000000003"/>
  </r>
  <r>
    <x v="142"/>
    <n v="2012"/>
    <n v="0.72"/>
    <n v="0.41"/>
    <n v="0.22"/>
    <n v="0.18"/>
    <n v="0.3508"/>
    <n v="0.39"/>
    <n v="0.54"/>
    <n v="0.1"/>
    <n v="0.5"/>
    <n v="0"/>
    <n v="0.41"/>
    <n v="0.37154285714285712"/>
    <n v="0.36733040468185779"/>
    <n v="0.23994694729407515"/>
    <x v="0"/>
    <n v="0.21"/>
    <n v="0.215"/>
    <n v="4"/>
  </r>
  <r>
    <x v="143"/>
    <n v="2012"/>
    <n v="0.72"/>
    <n v="0.4"/>
    <n v="0.22"/>
    <n v="0.17"/>
    <n v="0.34499999999999997"/>
    <n v="0.36499999999999999"/>
    <n v="0.53"/>
    <n v="0.09"/>
    <n v="0.49"/>
    <n v="0"/>
    <n v="0.4"/>
    <n v="0.36142857142857138"/>
    <n v="0.35620238467829057"/>
    <n v="0.25197261545533567"/>
    <x v="0"/>
    <n v="0.215"/>
    <n v="0.22"/>
    <n v="3.9609999999999999"/>
  </r>
  <r>
    <x v="144"/>
    <n v="2013"/>
    <n v="0.69"/>
    <n v="0.38"/>
    <n v="0.19"/>
    <n v="0.16"/>
    <n v="0.32779999999999998"/>
    <n v="0.36249999999999999"/>
    <n v="0.51"/>
    <n v="7.0000000000000007E-2"/>
    <n v="0.47"/>
    <n v="0"/>
    <n v="0.39"/>
    <n v="0.34861428571428571"/>
    <n v="0.34394637376302262"/>
    <n v="0.27316039036376011"/>
    <x v="0"/>
    <n v="0.215"/>
    <n v="0.22"/>
    <n v="3.9089999999999998"/>
  </r>
  <r>
    <x v="145"/>
    <n v="2013"/>
    <n v="0.68"/>
    <n v="0.37"/>
    <n v="0.18"/>
    <n v="0.15"/>
    <n v="0.32200000000000001"/>
    <n v="0.34749999999999998"/>
    <n v="0.5"/>
    <n v="0.06"/>
    <n v="0.46"/>
    <n v="0"/>
    <n v="0.38"/>
    <n v="0.33992857142857141"/>
    <n v="0.33452457033572519"/>
    <n v="0.27285293936242255"/>
    <x v="0"/>
    <n v="0.22"/>
    <n v="0.22500000000000001"/>
    <n v="4.1109999999999998"/>
  </r>
  <r>
    <x v="146"/>
    <n v="2013"/>
    <n v="0.67"/>
    <n v="0.36"/>
    <n v="0.17"/>
    <n v="0.14000000000000001"/>
    <n v="0.3105"/>
    <n v="0.3775"/>
    <n v="0.48"/>
    <n v="0.04"/>
    <n v="0.45"/>
    <n v="0"/>
    <n v="0.37"/>
    <n v="0.33542857142857141"/>
    <n v="0.33249563878508454"/>
    <n v="0.25095731037908503"/>
    <x v="0"/>
    <n v="0.22500000000000001"/>
    <n v="0.22500000000000001"/>
    <n v="4.0679999999999996"/>
  </r>
  <r>
    <x v="147"/>
    <n v="2013"/>
    <n v="0.72"/>
    <n v="0.41"/>
    <n v="0.22"/>
    <n v="0.18"/>
    <n v="0.3508"/>
    <n v="0.38500000000000001"/>
    <n v="0.53"/>
    <n v="0.1"/>
    <n v="0.5"/>
    <n v="0"/>
    <n v="0.41"/>
    <n v="0.36940000000000001"/>
    <n v="0.3663687562291571"/>
    <n v="0.27406060456347192"/>
    <x v="0"/>
    <n v="0.22500000000000001"/>
    <n v="0.23"/>
    <n v="3.93"/>
  </r>
  <r>
    <x v="148"/>
    <n v="2013"/>
    <n v="0.71"/>
    <n v="0.4"/>
    <n v="0.21"/>
    <n v="0.17"/>
    <n v="0.33929999999999999"/>
    <n v="0.35749999999999998"/>
    <n v="0.52"/>
    <n v="0.08"/>
    <n v="0.49"/>
    <n v="0"/>
    <n v="0.4"/>
    <n v="0.35811428571428566"/>
    <n v="0.35373736993448346"/>
    <n v="0.31172318647399622"/>
    <x v="0"/>
    <n v="0.23"/>
    <n v="0.23"/>
    <n v="3.87"/>
  </r>
  <r>
    <x v="149"/>
    <n v="2013"/>
    <n v="0.68"/>
    <n v="0.36"/>
    <n v="0.18"/>
    <n v="0.14000000000000001"/>
    <n v="0.31630000000000003"/>
    <n v="0.33750000000000002"/>
    <n v="0.49"/>
    <n v="0.05"/>
    <n v="0.45"/>
    <n v="0"/>
    <n v="0.37"/>
    <n v="0.33197142857142853"/>
    <n v="0.32609202746588767"/>
    <n v="0.32908432618367717"/>
    <x v="0"/>
    <n v="0.23"/>
    <n v="0.23499999999999999"/>
    <n v="3.8490000000000002"/>
  </r>
  <r>
    <x v="150"/>
    <n v="2013"/>
    <n v="0.66"/>
    <n v="0.35"/>
    <n v="0.16"/>
    <n v="0.13"/>
    <n v="0.30480000000000002"/>
    <n v="0.33750000000000002"/>
    <n v="0.47"/>
    <n v="0.04"/>
    <n v="0.44"/>
    <n v="0"/>
    <n v="0.36"/>
    <n v="0.32318571428571424"/>
    <n v="0.31820860759511788"/>
    <n v="0.31283758387119209"/>
    <x v="0"/>
    <n v="0.23499999999999999"/>
    <n v="0.23499999999999999"/>
    <n v="3.8660000000000001"/>
  </r>
  <r>
    <x v="151"/>
    <n v="2013"/>
    <n v="0.65"/>
    <n v="0.34"/>
    <n v="0.15"/>
    <n v="0.12"/>
    <n v="0.29899999999999999"/>
    <n v="0.33750000000000002"/>
    <n v="0.47"/>
    <n v="0.03"/>
    <n v="0.43"/>
    <n v="0"/>
    <n v="0.35"/>
    <n v="0.31807142857142851"/>
    <n v="0.3123326961974327"/>
    <n v="0.28621488395576949"/>
    <x v="0"/>
    <n v="0.24"/>
    <n v="0.24"/>
    <n v="3.9049999999999998"/>
  </r>
  <r>
    <x v="152"/>
    <n v="2013"/>
    <n v="0.66"/>
    <n v="0.35"/>
    <n v="0.16"/>
    <n v="0.13"/>
    <n v="0.30480000000000002"/>
    <n v="0.34749999999999998"/>
    <n v="0.47"/>
    <n v="0.03"/>
    <n v="0.44"/>
    <n v="0"/>
    <n v="0.36"/>
    <n v="0.32461428571428569"/>
    <n v="0.32016010370182757"/>
    <n v="0.28462080616043339"/>
    <x v="0"/>
    <n v="0.24"/>
    <n v="0.24"/>
    <n v="3.9609999999999999"/>
  </r>
  <r>
    <x v="153"/>
    <n v="2013"/>
    <n v="0.67"/>
    <n v="0.36"/>
    <n v="0.17"/>
    <n v="0.14000000000000001"/>
    <n v="0.3105"/>
    <n v="0.36249999999999999"/>
    <n v="0.48"/>
    <n v="0.04"/>
    <n v="0.45"/>
    <n v="0"/>
    <n v="0.37"/>
    <n v="0.33328571428571424"/>
    <n v="0.32956839462501997"/>
    <n v="0.30147591584534755"/>
    <x v="0"/>
    <n v="0.245"/>
    <n v="0.245"/>
    <n v="3.8849999999999998"/>
  </r>
  <r>
    <x v="154"/>
    <n v="2013"/>
    <n v="0.68"/>
    <n v="0.37"/>
    <n v="0.18"/>
    <n v="0.15"/>
    <n v="0.32200000000000001"/>
    <n v="0.34749999999999998"/>
    <n v="0.5"/>
    <n v="0.06"/>
    <n v="0.46"/>
    <n v="0"/>
    <n v="0.38"/>
    <n v="0.33992857142857141"/>
    <n v="0.33452457033572519"/>
    <n v="0.30599892899386222"/>
    <x v="0"/>
    <n v="0.245"/>
    <n v="0.25"/>
    <n v="3.839"/>
  </r>
  <r>
    <x v="155"/>
    <n v="2013"/>
    <n v="0.66"/>
    <n v="0.35"/>
    <n v="0.16"/>
    <n v="0.13"/>
    <n v="0.30480000000000002"/>
    <n v="0.33500000000000002"/>
    <n v="0.48"/>
    <n v="0.04"/>
    <n v="0.44"/>
    <n v="0"/>
    <n v="0.36"/>
    <n v="0.32425714285714285"/>
    <n v="0.31833938143798823"/>
    <n v="0.30982817329058593"/>
    <x v="0"/>
    <n v="0.25"/>
    <n v="0.25"/>
    <n v="3.8820000000000001"/>
  </r>
  <r>
    <x v="156"/>
    <n v="2014"/>
    <n v="0.65"/>
    <n v="0.34"/>
    <n v="0.15"/>
    <n v="0.12"/>
    <n v="0.29899999999999999"/>
    <n v="0.34"/>
    <n v="0.46"/>
    <n v="0.03"/>
    <n v="0.43"/>
    <n v="0"/>
    <n v="0.35"/>
    <n v="0.317"/>
    <n v="0.31341985679452145"/>
    <n v="0.31984417218333966"/>
    <x v="0"/>
    <n v="0.255"/>
    <n v="0.255"/>
    <n v="3.8929999999999998"/>
  </r>
  <r>
    <x v="157"/>
    <n v="2014"/>
    <n v="0.66"/>
    <n v="0.35"/>
    <n v="0.16"/>
    <n v="0.13"/>
    <n v="0.30480000000000002"/>
    <n v="0.34499999999999997"/>
    <n v="0.48"/>
    <n v="0.04"/>
    <n v="0.44"/>
    <n v="0"/>
    <n v="0.36"/>
    <n v="0.32568571428571425"/>
    <n v="0.32161061365663257"/>
    <n v="0.31789233133740291"/>
    <x v="0"/>
    <n v="0.255"/>
    <n v="0.26"/>
    <n v="3.984"/>
  </r>
  <r>
    <x v="158"/>
    <n v="2014"/>
    <n v="0.67"/>
    <n v="0.35"/>
    <n v="0.17"/>
    <n v="0.13"/>
    <n v="0.3105"/>
    <n v="0.35749999999999998"/>
    <n v="0.48"/>
    <n v="0.04"/>
    <n v="0.44"/>
    <n v="0"/>
    <n v="0.36"/>
    <n v="0.32828571428571429"/>
    <n v="0.32462075418473169"/>
    <n v="0.29052900874913523"/>
    <x v="0"/>
    <n v="0.26500000000000001"/>
    <n v="0.26"/>
    <n v="4.0010000000000003"/>
  </r>
  <r>
    <x v="159"/>
    <n v="2014"/>
    <n v="0.69"/>
    <n v="0.38"/>
    <n v="0.19"/>
    <n v="0.15"/>
    <n v="0.32779999999999998"/>
    <n v="0.36749999999999999"/>
    <n v="0.5"/>
    <n v="0.06"/>
    <n v="0.47"/>
    <n v="0"/>
    <n v="0.38"/>
    <n v="0.3464714285714286"/>
    <n v="0.34387801833973758"/>
    <n v="0.3263630407406774"/>
    <x v="0"/>
    <n v="0.26500000000000001"/>
    <n v="0.26500000000000001"/>
    <n v="3.964"/>
  </r>
  <r>
    <x v="160"/>
    <n v="2014"/>
    <n v="0.69"/>
    <n v="0.38"/>
    <n v="0.19"/>
    <n v="0.16"/>
    <n v="0.32779999999999998"/>
    <n v="0.36"/>
    <n v="0.51"/>
    <n v="7.0000000000000007E-2"/>
    <n v="0.47"/>
    <n v="0"/>
    <n v="0.39"/>
    <n v="0.34825714285714288"/>
    <n v="0.34509134245306627"/>
    <n v="0.35137612013301034"/>
    <x v="0"/>
    <n v="0.27"/>
    <n v="0.26500000000000001"/>
    <n v="3.9430000000000001"/>
  </r>
  <r>
    <x v="161"/>
    <n v="2014"/>
    <n v="0.68"/>
    <n v="0.37"/>
    <n v="0.18"/>
    <n v="0.15"/>
    <n v="0.32200000000000001"/>
    <n v="0.35749999999999998"/>
    <n v="0.5"/>
    <n v="0.06"/>
    <n v="0.46"/>
    <n v="0"/>
    <n v="0.38"/>
    <n v="0.34135714285714286"/>
    <n v="0.33797586551441572"/>
    <n v="0.35021652085424176"/>
    <x v="0"/>
    <n v="0.27"/>
    <n v="0.27"/>
    <n v="3.9060000000000001"/>
  </r>
  <r>
    <x v="162"/>
    <n v="2014"/>
    <n v="0.68"/>
    <n v="0.37"/>
    <n v="0.18"/>
    <n v="0.14000000000000001"/>
    <n v="0.31630000000000003"/>
    <n v="0.34499999999999997"/>
    <n v="0.49"/>
    <n v="0.05"/>
    <n v="0.46"/>
    <n v="0"/>
    <n v="0.37"/>
    <n v="0.33589999999999998"/>
    <n v="0.33246122056052718"/>
    <n v="0.33298163240963147"/>
    <x v="0"/>
    <n v="0.27500000000000002"/>
    <n v="0.27500000000000002"/>
    <n v="3.8839999999999999"/>
  </r>
  <r>
    <x v="163"/>
    <n v="2014"/>
    <n v="0.67"/>
    <n v="0.36"/>
    <n v="0.17"/>
    <n v="0.14000000000000001"/>
    <n v="0.3105"/>
    <n v="0.34499999999999997"/>
    <n v="0.48"/>
    <n v="0.04"/>
    <n v="0.45"/>
    <n v="0"/>
    <n v="0.37"/>
    <n v="0.33078571428571424"/>
    <n v="0.3276357549991793"/>
    <n v="0.31169750616248432"/>
    <x v="0"/>
    <n v="0.28000000000000003"/>
    <n v="0.27500000000000002"/>
    <n v="3.8380000000000001"/>
  </r>
  <r>
    <x v="164"/>
    <n v="2014"/>
    <n v="0.66"/>
    <n v="0.35"/>
    <n v="0.16"/>
    <n v="0.13"/>
    <n v="0.30480000000000002"/>
    <n v="0.33250000000000002"/>
    <n v="0.48"/>
    <n v="0.04"/>
    <n v="0.44"/>
    <n v="0"/>
    <n v="0.36"/>
    <n v="0.32390000000000002"/>
    <n v="0.31945864646919797"/>
    <n v="0.31393768995624272"/>
    <x v="0"/>
    <n v="0.28000000000000003"/>
    <n v="0.28000000000000003"/>
    <n v="3.7919999999999998"/>
  </r>
  <r>
    <x v="165"/>
    <n v="2014"/>
    <n v="0.65"/>
    <n v="0.34"/>
    <n v="0.15"/>
    <n v="0.12"/>
    <n v="0.29899999999999999"/>
    <n v="0.32750000000000001"/>
    <n v="0.46"/>
    <n v="0.03"/>
    <n v="0.43"/>
    <n v="0"/>
    <n v="0.35"/>
    <n v="0.31521428571428572"/>
    <n v="0.31126788960708679"/>
    <n v="0.33181546639349813"/>
    <x v="0"/>
    <n v="0.28499999999999998"/>
    <n v="0.28000000000000003"/>
    <n v="3.681"/>
  </r>
  <r>
    <x v="166"/>
    <n v="2014"/>
    <n v="0.64"/>
    <n v="0.33"/>
    <n v="0.14000000000000001"/>
    <n v="0.11"/>
    <n v="0.28749999999999998"/>
    <n v="0.3075"/>
    <n v="0.45"/>
    <n v="0.02"/>
    <n v="0.42"/>
    <n v="0"/>
    <n v="0.34"/>
    <n v="0.30499999999999999"/>
    <n v="0.30028148526536325"/>
    <n v="0.33745155555609596"/>
    <x v="0"/>
    <n v="0.28999999999999998"/>
    <n v="0.28499999999999998"/>
    <n v="3.6469999999999998"/>
  </r>
  <r>
    <x v="167"/>
    <n v="2014"/>
    <n v="0.61"/>
    <n v="0.3"/>
    <n v="0.11"/>
    <n v="0.09"/>
    <n v="0.27029999999999998"/>
    <n v="0.29499999999999998"/>
    <n v="0.43"/>
    <n v="0"/>
    <n v="0.39"/>
    <n v="0"/>
    <n v="0.32"/>
    <n v="0.28647142857142854"/>
    <n v="0.28060888334551365"/>
    <n v="0.32780523780895249"/>
    <x v="0"/>
    <n v="0.28999999999999998"/>
    <n v="0.28499999999999998"/>
    <n v="3.411"/>
  </r>
  <r>
    <x v="168"/>
    <n v="2015"/>
    <n v="0.6"/>
    <n v="0.28999999999999998"/>
    <n v="0.1"/>
    <n v="0.08"/>
    <n v="0.25879999999999997"/>
    <n v="0.2525"/>
    <n v="0.42"/>
    <n v="0"/>
    <n v="0.38"/>
    <n v="0"/>
    <n v="0.31"/>
    <n v="0.21304285714285712"/>
    <n v="0.23876531525979366"/>
    <n v="0.3302963961849214"/>
    <x v="0"/>
    <n v="0.29499999999999998"/>
    <n v="3.5000000000000003E-2"/>
    <n v="2.9969999999999999"/>
  </r>
  <r>
    <x v="169"/>
    <n v="2015"/>
    <n v="0.55000000000000004"/>
    <n v="0.23"/>
    <n v="0.05"/>
    <n v="0.04"/>
    <n v="0.2185"/>
    <n v="0.17249999999999999"/>
    <n v="0.36"/>
    <n v="0"/>
    <n v="0.32"/>
    <n v="0"/>
    <n v="0.27"/>
    <n v="0.14014285714285715"/>
    <n v="0.11207031450153104"/>
    <n v="0.32410531720862862"/>
    <x v="0"/>
    <n v="0.3"/>
    <n v="0.04"/>
    <n v="2.8580000000000001"/>
  </r>
  <r>
    <x v="170"/>
    <n v="2015"/>
    <n v="0.44"/>
    <n v="0.13"/>
    <n v="0"/>
    <n v="0"/>
    <n v="0.13800000000000001"/>
    <n v="0.1275"/>
    <n v="0.25"/>
    <n v="0"/>
    <n v="0.22"/>
    <n v="0"/>
    <n v="0.18"/>
    <n v="9.5071428571428571E-2"/>
    <n v="7.5771472223387398E-2"/>
    <n v="0.32310523929435825"/>
    <x v="0"/>
    <n v="0.30499999999999999"/>
    <n v="0.04"/>
    <n v="2.8969999999999998"/>
  </r>
  <r>
    <x v="171"/>
    <n v="2015"/>
    <n v="0.41"/>
    <n v="0.09"/>
    <n v="0"/>
    <n v="0"/>
    <n v="0.10929999999999999"/>
    <n v="0.14000000000000001"/>
    <n v="0.22"/>
    <n v="0"/>
    <n v="0.18"/>
    <n v="0"/>
    <n v="0.16"/>
    <n v="8.4185714285714294E-2"/>
    <n v="6.9142828093792241E-2"/>
    <n v="0.35026275964738368"/>
    <x v="0"/>
    <n v="0.30499999999999999"/>
    <n v="0.04"/>
    <n v="2.782"/>
  </r>
  <r>
    <x v="172"/>
    <n v="2015"/>
    <n v="0.42"/>
    <n v="0.1"/>
    <n v="0"/>
    <n v="0"/>
    <n v="0.115"/>
    <n v="0.11499999999999999"/>
    <n v="0.23"/>
    <n v="0"/>
    <n v="0.19"/>
    <n v="0"/>
    <n v="0.16"/>
    <n v="8.2857142857142851E-2"/>
    <n v="6.6400175529735192E-2"/>
    <n v="0.35553525938320457"/>
    <x v="0"/>
    <n v="0.30499999999999999"/>
    <n v="0.04"/>
    <n v="2.8879999999999999"/>
  </r>
  <r>
    <x v="173"/>
    <n v="2015"/>
    <n v="0.39"/>
    <n v="0.08"/>
    <n v="0"/>
    <n v="0"/>
    <n v="9.7799999999999998E-2"/>
    <n v="0.13250000000000001"/>
    <n v="0.2"/>
    <n v="0"/>
    <n v="0.17"/>
    <n v="0"/>
    <n v="0.14000000000000001"/>
    <n v="7.7185714285714288E-2"/>
    <n v="6.2685553128398075E-2"/>
    <n v="0.34256565937108369"/>
    <x v="0"/>
    <n v="0.30499999999999999"/>
    <n v="0.04"/>
    <n v="2.8730000000000002"/>
  </r>
  <r>
    <x v="174"/>
    <n v="2015"/>
    <n v="0.41"/>
    <n v="0.1"/>
    <n v="0"/>
    <n v="0"/>
    <n v="0.115"/>
    <n v="0.13250000000000001"/>
    <n v="0.23"/>
    <n v="0"/>
    <n v="0.19"/>
    <n v="0"/>
    <n v="0.16"/>
    <n v="8.5357142857142868E-2"/>
    <n v="6.9068358183912576E-2"/>
    <n v="0.32687316583707221"/>
    <x v="0"/>
    <n v="0.30499999999999999"/>
    <n v="0.04"/>
    <n v="2.7879999999999998"/>
  </r>
  <r>
    <x v="175"/>
    <n v="2015"/>
    <n v="0.41"/>
    <n v="0.1"/>
    <n v="0"/>
    <n v="0"/>
    <n v="0.115"/>
    <n v="0.12"/>
    <n v="0.22"/>
    <n v="0"/>
    <n v="0.19"/>
    <n v="0"/>
    <n v="0.16"/>
    <n v="8.357142857142856E-2"/>
    <n v="6.716251343092873E-2"/>
    <n v="0.31085882332955256"/>
    <x v="0"/>
    <n v="0.30499999999999999"/>
    <n v="0.04"/>
    <n v="2.5950000000000002"/>
  </r>
  <r>
    <x v="176"/>
    <n v="2015"/>
    <n v="0.39"/>
    <n v="0.08"/>
    <n v="0"/>
    <n v="0"/>
    <n v="9.7799999999999998E-2"/>
    <n v="7.7499999999999999E-2"/>
    <n v="0.2"/>
    <n v="0"/>
    <n v="0.17"/>
    <n v="0"/>
    <n v="0.14000000000000001"/>
    <n v="6.9328571428571434E-2"/>
    <n v="5.4299836215269154E-2"/>
    <n v="0.31124443003751195"/>
    <x v="0"/>
    <n v="0.30499999999999999"/>
    <n v="0.04"/>
    <n v="2.5049999999999999"/>
  </r>
  <r>
    <x v="177"/>
    <n v="2015"/>
    <n v="0.34"/>
    <n v="0.03"/>
    <n v="0"/>
    <n v="0"/>
    <n v="5.7500000000000002E-2"/>
    <n v="5.7499999999999996E-2"/>
    <n v="0.15"/>
    <n v="0"/>
    <n v="0.12"/>
    <n v="0"/>
    <n v="0.1"/>
    <n v="4.7857142857142855E-2"/>
    <n v="3.7388617671068894E-2"/>
    <n v="0.32894768527666757"/>
    <x v="0"/>
    <n v="0.30499999999999999"/>
    <n v="0.04"/>
    <n v="2.5190000000000001"/>
  </r>
  <r>
    <x v="178"/>
    <n v="2015"/>
    <n v="0.32"/>
    <n v="0.01"/>
    <n v="0"/>
    <n v="0"/>
    <n v="4.0300000000000002E-2"/>
    <n v="5.5E-2"/>
    <n v="0.13"/>
    <n v="0"/>
    <n v="0.1"/>
    <n v="0"/>
    <n v="0.09"/>
    <n v="4.075714285714286E-2"/>
    <n v="3.2352320896750442E-2"/>
    <n v="0.33404548676098206"/>
    <x v="0"/>
    <n v="0.30499999999999999"/>
    <n v="3.9E-2"/>
    <n v="2.4670000000000001"/>
  </r>
  <r>
    <x v="179"/>
    <n v="2015"/>
    <n v="0.32"/>
    <n v="0.01"/>
    <n v="0"/>
    <n v="0"/>
    <n v="4.5999999999999999E-2"/>
    <n v="0.05"/>
    <n v="0.13"/>
    <n v="0"/>
    <n v="0.1"/>
    <n v="0"/>
    <n v="0.09"/>
    <n v="4.0857142857142863E-2"/>
    <n v="3.2365749760421274E-2"/>
    <n v="0.31838354982059747"/>
    <x v="0"/>
    <n v="0.30499999999999999"/>
    <n v="0.04"/>
    <n v="2.31"/>
  </r>
  <r>
    <x v="180"/>
    <n v="2016"/>
    <n v="0.31"/>
    <n v="0"/>
    <n v="0"/>
    <n v="0"/>
    <n v="3.4500000000000003E-2"/>
    <n v="2.5000000000000001E-2"/>
    <n v="0.12"/>
    <n v="0"/>
    <n v="0.09"/>
    <n v="0"/>
    <n v="0.08"/>
    <n v="3.2785714285714286E-2"/>
    <n v="2.5249924444910567E-2"/>
    <n v="0.29871051527244591"/>
    <x v="0"/>
    <n v="0.30499999999999999"/>
    <n v="0.04"/>
    <n v="2.1429999999999998"/>
  </r>
  <r>
    <x v="181"/>
    <n v="2016"/>
    <n v="0.27"/>
    <n v="-0.04"/>
    <n v="0"/>
    <n v="0"/>
    <n v="5.7999999999999996E-3"/>
    <n v="0"/>
    <n v="0.08"/>
    <n v="0"/>
    <n v="0.05"/>
    <n v="0"/>
    <n v="0.05"/>
    <n v="1.5114285714285716E-2"/>
    <n v="1.1435083749791332E-2"/>
    <n v="0.25606849949796295"/>
    <x v="0"/>
    <n v="0.3"/>
    <n v="0.03"/>
    <n v="1.998"/>
  </r>
  <r>
    <x v="182"/>
    <n v="2016"/>
    <n v="0.23"/>
    <n v="-0.08"/>
    <n v="0"/>
    <n v="0"/>
    <n v="0"/>
    <n v="0"/>
    <n v="0.04"/>
    <n v="0"/>
    <n v="0"/>
    <n v="0"/>
    <n v="0"/>
    <n v="0"/>
    <n v="0"/>
    <n v="0.24429595506440119"/>
    <x v="0"/>
    <n v="0.3"/>
    <n v="0.03"/>
    <n v="2.09"/>
  </r>
  <r>
    <x v="183"/>
    <n v="2016"/>
    <n v="0.19"/>
    <n v="-0.12"/>
    <n v="0"/>
    <n v="0"/>
    <n v="0"/>
    <n v="0"/>
    <n v="0"/>
    <n v="0"/>
    <n v="0"/>
    <n v="0"/>
    <n v="0"/>
    <n v="0"/>
    <n v="0"/>
    <n v="0.25979653422089566"/>
    <x v="0"/>
    <n v="0.29499999999999998"/>
    <n v="0.03"/>
    <n v="2.1520000000000001"/>
  </r>
  <r>
    <x v="184"/>
    <n v="2016"/>
    <n v="0.22"/>
    <n v="-0.1"/>
    <n v="0"/>
    <n v="0"/>
    <n v="0"/>
    <n v="0"/>
    <n v="0.03"/>
    <n v="0"/>
    <n v="0"/>
    <n v="0"/>
    <n v="0"/>
    <n v="0"/>
    <n v="0"/>
    <n v="0.25507629597242831"/>
    <x v="0"/>
    <n v="0.29499999999999998"/>
    <n v="0.03"/>
    <n v="2.3149999999999999"/>
  </r>
  <r>
    <x v="185"/>
    <n v="2016"/>
    <n v="0.23"/>
    <n v="-0.08"/>
    <n v="0"/>
    <n v="0"/>
    <n v="0"/>
    <n v="1.2500000000000001E-2"/>
    <n v="0.04"/>
    <n v="0"/>
    <n v="0"/>
    <n v="0"/>
    <n v="0"/>
    <n v="1.7857142857142859E-3"/>
    <n v="1.8220412347718486E-3"/>
    <n v="0.24225114870290052"/>
    <x v="0"/>
    <n v="0.29499999999999998"/>
    <n v="0.03"/>
    <n v="2.423"/>
  </r>
  <r>
    <x v="186"/>
    <n v="2016"/>
    <n v="0.27"/>
    <n v="-0.04"/>
    <n v="0"/>
    <n v="0"/>
    <n v="5.7999999999999996E-3"/>
    <n v="3.7500000000000006E-2"/>
    <n v="0.08"/>
    <n v="0"/>
    <n v="0.05"/>
    <n v="0"/>
    <n v="0.05"/>
    <n v="2.0471428571428574E-2"/>
    <n v="1.6901207454106879E-2"/>
    <n v="0.23991272877985251"/>
    <x v="0"/>
    <n v="0.29499999999999998"/>
    <n v="0.03"/>
    <n v="2.4049999999999998"/>
  </r>
  <r>
    <x v="187"/>
    <n v="2016"/>
    <n v="0.3"/>
    <n v="-0.01"/>
    <n v="0"/>
    <n v="0"/>
    <n v="2.8799999999999999E-2"/>
    <n v="3.5000000000000003E-2"/>
    <n v="0.11"/>
    <n v="0"/>
    <n v="0.08"/>
    <n v="0"/>
    <n v="7.0000000000000007E-2"/>
    <n v="3.0542857142857142E-2"/>
    <n v="2.3875286628393701E-2"/>
    <n v="0.23571032154251359"/>
    <x v="0"/>
    <n v="0.29499999999999998"/>
    <n v="0.03"/>
    <n v="2.351"/>
  </r>
  <r>
    <x v="188"/>
    <n v="2016"/>
    <n v="0.28999999999999998"/>
    <n v="-0.02"/>
    <n v="0"/>
    <n v="0"/>
    <n v="2.3E-2"/>
    <n v="0.02"/>
    <n v="0.11"/>
    <n v="0"/>
    <n v="7.0000000000000007E-2"/>
    <n v="0"/>
    <n v="7.0000000000000007E-2"/>
    <n v="2.6142857142857141E-2"/>
    <n v="2.0711471403562231E-2"/>
    <n v="0.23130619546209821"/>
    <x v="0"/>
    <n v="0.29499999999999998"/>
    <n v="3.5000000000000003E-2"/>
    <n v="2.3940000000000001"/>
  </r>
  <r>
    <x v="189"/>
    <n v="2016"/>
    <n v="0.28000000000000003"/>
    <n v="-0.03"/>
    <n v="0"/>
    <n v="0"/>
    <n v="1.15E-2"/>
    <n v="3.5000000000000003E-2"/>
    <n v="0.09"/>
    <n v="0"/>
    <n v="0.06"/>
    <n v="0"/>
    <n v="0.06"/>
    <n v="2.3785714285714282E-2"/>
    <n v="1.9369070011486855E-2"/>
    <n v="0.22607496730105855"/>
    <x v="0"/>
    <n v="0.3"/>
    <n v="4.4999999999999998E-2"/>
    <n v="2.4540000000000002"/>
  </r>
  <r>
    <x v="190"/>
    <n v="2016"/>
    <n v="0.28999999999999998"/>
    <n v="-0.02"/>
    <n v="0"/>
    <n v="0"/>
    <n v="2.3E-2"/>
    <n v="4.2500000000000003E-2"/>
    <n v="0.1"/>
    <n v="0"/>
    <n v="7.0000000000000007E-2"/>
    <n v="0"/>
    <n v="0.06"/>
    <n v="2.7928571428571431E-2"/>
    <n v="2.2124230563724746E-2"/>
    <n v="0.22238612549927961"/>
    <x v="0"/>
    <n v="0.315"/>
    <n v="0.05"/>
    <n v="2.4390000000000001"/>
  </r>
  <r>
    <x v="191"/>
    <n v="2016"/>
    <n v="0.31"/>
    <n v="-0.01"/>
    <n v="0"/>
    <n v="0"/>
    <n v="3.4500000000000003E-2"/>
    <n v="4.4999999999999998E-2"/>
    <n v="0.12"/>
    <n v="0"/>
    <n v="0.08"/>
    <n v="0"/>
    <n v="0.08"/>
    <n v="3.4214285714285711E-2"/>
    <n v="2.7884404746907517E-2"/>
    <n v="0.21043800484797437"/>
    <x v="0"/>
    <n v="0.32"/>
    <n v="0.05"/>
    <n v="2.5099999999999998"/>
  </r>
  <r>
    <x v="192"/>
    <n v="2017"/>
    <n v="0.3"/>
    <n v="-0.01"/>
    <n v="0"/>
    <n v="0"/>
    <n v="2.8799999999999999E-2"/>
    <n v="5.2499999999999998E-2"/>
    <n v="0.11"/>
    <n v="0"/>
    <n v="0.08"/>
    <n v="0"/>
    <n v="7.0000000000000007E-2"/>
    <n v="3.3042857142857145E-2"/>
    <n v="2.2748282902011949E-2"/>
    <n v="0.19247836549974187"/>
    <x v="0"/>
    <n v="0.32"/>
    <n v="0.1"/>
    <n v="2.58"/>
  </r>
  <r>
    <x v="193"/>
    <n v="2017"/>
    <n v="0.32"/>
    <n v="0.01"/>
    <n v="0"/>
    <n v="0"/>
    <n v="4.5999999999999999E-2"/>
    <n v="7.2500000000000009E-2"/>
    <n v="0.13"/>
    <n v="0"/>
    <n v="0.1"/>
    <n v="0"/>
    <n v="0.09"/>
    <n v="4.4071428571428574E-2"/>
    <n v="2.9977872238442629E-2"/>
    <n v="0.14837200396931829"/>
    <x v="0"/>
    <n v="0.32"/>
    <n v="0.1"/>
    <n v="2.5680000000000001"/>
  </r>
  <r>
    <x v="194"/>
    <n v="2017"/>
    <n v="0.34"/>
    <n v="0.03"/>
    <n v="0"/>
    <n v="0"/>
    <n v="5.7500000000000002E-2"/>
    <n v="6.7500000000000004E-2"/>
    <n v="0.15"/>
    <n v="0"/>
    <n v="0.12"/>
    <n v="0"/>
    <n v="0.1"/>
    <n v="4.928571428571428E-2"/>
    <n v="3.2695208394657081E-2"/>
    <n v="0.13346407546937303"/>
    <x v="0"/>
    <n v="0.38500000000000001"/>
    <n v="0.1"/>
    <n v="2.5539999999999998"/>
  </r>
  <r>
    <x v="195"/>
    <n v="2017"/>
    <n v="0.33"/>
    <n v="0.02"/>
    <n v="0"/>
    <n v="0"/>
    <n v="5.1799999999999999E-2"/>
    <n v="6.7500000000000004E-2"/>
    <n v="0.15"/>
    <n v="0"/>
    <n v="0.11"/>
    <n v="0"/>
    <n v="0.1"/>
    <n v="4.704285714285715E-2"/>
    <n v="3.2235558059332217E-2"/>
    <n v="0.13767361547784326"/>
    <x v="0"/>
    <n v="0.38"/>
    <n v="0.1"/>
    <n v="2.5830000000000002"/>
  </r>
  <r>
    <x v="196"/>
    <n v="2017"/>
    <n v="0.33"/>
    <n v="0.02"/>
    <n v="0"/>
    <n v="0"/>
    <n v="5.1799999999999999E-2"/>
    <n v="7.0000000000000007E-2"/>
    <n v="0.14000000000000001"/>
    <n v="0"/>
    <n v="0.11"/>
    <n v="0"/>
    <n v="0.1"/>
    <n v="4.7399999999999998E-2"/>
    <n v="3.2441996157487329E-2"/>
    <n v="0.13716383932760048"/>
    <x v="0"/>
    <n v="0.38"/>
    <n v="9.5000000000000001E-2"/>
    <n v="2.56"/>
  </r>
  <r>
    <x v="197"/>
    <n v="2017"/>
    <n v="0.34"/>
    <n v="0.03"/>
    <n v="0"/>
    <n v="0"/>
    <n v="5.7500000000000002E-2"/>
    <n v="6.7500000000000004E-2"/>
    <n v="0.15"/>
    <n v="0"/>
    <n v="0.12"/>
    <n v="0"/>
    <n v="0.1"/>
    <n v="4.928571428571428E-2"/>
    <n v="3.2695208394657081E-2"/>
    <n v="0.13416115329252856"/>
    <x v="0"/>
    <n v="0.375"/>
    <n v="9.5000000000000001E-2"/>
    <n v="2.5110000000000001"/>
  </r>
  <r>
    <x v="198"/>
    <n v="2017"/>
    <n v="0.33"/>
    <n v="0.02"/>
    <n v="0"/>
    <n v="0"/>
    <n v="5.1799999999999999E-2"/>
    <n v="6.25E-2"/>
    <n v="0.15"/>
    <n v="0"/>
    <n v="0.11"/>
    <n v="0"/>
    <n v="0.1"/>
    <n v="4.6328571428571434E-2"/>
    <n v="3.1822681863021979E-2"/>
    <n v="0.13947692873284886"/>
    <x v="0"/>
    <n v="0.375"/>
    <n v="0.09"/>
    <n v="2.496"/>
  </r>
  <r>
    <x v="199"/>
    <n v="2017"/>
    <n v="0.32"/>
    <n v="0.01"/>
    <n v="0"/>
    <n v="0"/>
    <n v="4.5999999999999999E-2"/>
    <n v="5.2500000000000005E-2"/>
    <n v="0.13"/>
    <n v="0"/>
    <n v="0.1"/>
    <n v="0"/>
    <n v="0.09"/>
    <n v="4.121428571428571E-2"/>
    <n v="2.8326367453201697E-2"/>
    <n v="0.13955785168616724"/>
    <x v="0"/>
    <n v="0.37"/>
    <n v="0.09"/>
    <n v="2.5950000000000002"/>
  </r>
  <r>
    <x v="200"/>
    <n v="2017"/>
    <n v="0.32"/>
    <n v="0"/>
    <n v="0"/>
    <n v="0"/>
    <n v="4.0300000000000002E-2"/>
    <n v="7.0000000000000007E-2"/>
    <n v="0.13"/>
    <n v="0"/>
    <n v="0.09"/>
    <n v="0"/>
    <n v="0.08"/>
    <n v="4.0042857142857144E-2"/>
    <n v="2.7105103560887519E-2"/>
    <n v="0.13148998469600978"/>
    <x v="0"/>
    <n v="0.36499999999999999"/>
    <n v="0.09"/>
    <n v="2.7850000000000001"/>
  </r>
  <r>
    <x v="201"/>
    <n v="2017"/>
    <n v="0.34"/>
    <n v="0.03"/>
    <n v="0"/>
    <n v="0"/>
    <n v="5.7500000000000002E-2"/>
    <n v="0.10250000000000001"/>
    <n v="0.15"/>
    <n v="0"/>
    <n v="0.12"/>
    <n v="0"/>
    <n v="0.1"/>
    <n v="5.4285714285714284E-2"/>
    <n v="3.5585341768828715E-2"/>
    <n v="0.12267519242988084"/>
    <x v="0"/>
    <n v="0.36499999999999999"/>
    <n v="9.5000000000000001E-2"/>
    <n v="2.794"/>
  </r>
  <r>
    <x v="202"/>
    <n v="2017"/>
    <n v="0.39"/>
    <n v="0.08"/>
    <n v="0"/>
    <n v="0"/>
    <n v="9.7799999999999998E-2"/>
    <n v="0.115"/>
    <n v="0.2"/>
    <n v="0"/>
    <n v="0.17"/>
    <n v="0"/>
    <n v="0.14000000000000001"/>
    <n v="7.4685714285714286E-2"/>
    <n v="4.8241814572908298E-2"/>
    <n v="0.11825267890861281"/>
    <x v="0"/>
    <n v="0.375"/>
    <n v="9.5000000000000001E-2"/>
    <n v="2.9089999999999998"/>
  </r>
  <r>
    <x v="203"/>
    <n v="2017"/>
    <n v="0.39"/>
    <n v="0.08"/>
    <n v="0"/>
    <n v="0"/>
    <n v="9.7799999999999998E-2"/>
    <n v="0.13500000000000001"/>
    <n v="0.2"/>
    <n v="0"/>
    <n v="0.17"/>
    <n v="0"/>
    <n v="0.14000000000000001"/>
    <n v="7.7542857142857149E-2"/>
    <n v="4.9893319358149231E-2"/>
    <n v="0.11361967928428081"/>
    <x v="0"/>
    <n v="0.38"/>
    <n v="0.1"/>
    <n v="2.9089999999999998"/>
  </r>
  <r>
    <x v="204"/>
    <n v="2018"/>
    <n v="0.42"/>
    <n v="0.11"/>
    <n v="0"/>
    <n v="0"/>
    <n v="0.1208"/>
    <n v="0.14000000000000001"/>
    <n v="0.23"/>
    <n v="0"/>
    <n v="0.2"/>
    <n v="0"/>
    <n v="0.17"/>
    <n v="9.0114285714285716E-2"/>
    <n v="5.4781555193368706E-2"/>
    <n v="9.5587840868905385E-2"/>
    <x v="0"/>
    <n v="0.38"/>
    <n v="0.09"/>
    <n v="3.0179999999999998"/>
  </r>
  <r>
    <x v="205"/>
    <n v="2018"/>
    <n v="0.42"/>
    <n v="0.11"/>
    <n v="0"/>
    <n v="0"/>
    <n v="0.1208"/>
    <n v="0.16"/>
    <n v="0.23"/>
    <n v="0"/>
    <n v="0.2"/>
    <n v="0"/>
    <n v="0.17"/>
    <n v="9.297142857142858E-2"/>
    <n v="5.6294531524752028E-2"/>
    <n v="5.1161090163255006E-2"/>
    <x v="0"/>
    <n v="0.37"/>
    <n v="0.09"/>
    <n v="3.0459999999999998"/>
  </r>
  <r>
    <x v="206"/>
    <n v="2018"/>
    <n v="0.45"/>
    <n v="0.13"/>
    <n v="0"/>
    <n v="0"/>
    <n v="0.13800000000000001"/>
    <n v="0.17249999999999999"/>
    <n v="0.26"/>
    <n v="0"/>
    <n v="0.22"/>
    <n v="0"/>
    <n v="0.19"/>
    <n v="0.10292857142857141"/>
    <n v="6.2485533744512052E-2"/>
    <n v="3.6155560206014827E-2"/>
    <x v="0"/>
    <n v="0.38500000000000001"/>
    <n v="0.105"/>
    <n v="2.988"/>
  </r>
  <r>
    <x v="207"/>
    <n v="2018"/>
    <n v="0.45"/>
    <n v="0.14000000000000001"/>
    <n v="0"/>
    <n v="0"/>
    <n v="0.14380000000000001"/>
    <n v="0.1575"/>
    <n v="0.27"/>
    <n v="0"/>
    <n v="0.23"/>
    <n v="0"/>
    <n v="0.19"/>
    <n v="0.10304285714285714"/>
    <n v="6.182905503265354E-2"/>
    <n v="3.3792795384374817E-2"/>
    <x v="0"/>
    <n v="0.4"/>
    <n v="0.11"/>
    <n v="3.0960000000000001"/>
  </r>
  <r>
    <x v="208"/>
    <n v="2018"/>
    <n v="0.44"/>
    <n v="0.13"/>
    <n v="0"/>
    <n v="0"/>
    <n v="0.1323"/>
    <n v="0.17749999999999999"/>
    <n v="0.25"/>
    <n v="0"/>
    <n v="0.22"/>
    <n v="0"/>
    <n v="0.18"/>
    <n v="0.1014"/>
    <n v="6.0595348714089614E-2"/>
    <n v="3.2947390562407509E-2"/>
    <x v="0"/>
    <n v="0.40500000000000003"/>
    <n v="0.11"/>
    <n v="3.2440000000000002"/>
  </r>
  <r>
    <x v="209"/>
    <n v="2018"/>
    <n v="0.47"/>
    <n v="0.15"/>
    <n v="0"/>
    <n v="0"/>
    <n v="0.15529999999999999"/>
    <n v="0.20250000000000001"/>
    <n v="0.28000000000000003"/>
    <n v="0"/>
    <n v="0.24"/>
    <n v="0"/>
    <n v="0.2"/>
    <n v="0.11397142857142858"/>
    <n v="6.7979934428213262E-2"/>
    <n v="3.2400934252609002E-2"/>
    <x v="0"/>
    <n v="0.41"/>
    <n v="0.115"/>
    <n v="3.2530000000000001"/>
  </r>
  <r>
    <x v="210"/>
    <n v="2018"/>
    <n v="0.5"/>
    <n v="0.19"/>
    <n v="0"/>
    <n v="0"/>
    <n v="0.184"/>
    <n v="0.215"/>
    <n v="0.32"/>
    <n v="0"/>
    <n v="0.28000000000000003"/>
    <n v="0"/>
    <n v="0.23"/>
    <n v="0.12985714285714287"/>
    <n v="7.7147899547350463E-2"/>
    <n v="3.9264082500347144E-2"/>
    <x v="0"/>
    <n v="0.41"/>
    <n v="0.115"/>
    <n v="3.2330000000000001"/>
  </r>
  <r>
    <x v="211"/>
    <n v="2018"/>
    <n v="0.51"/>
    <n v="0.19"/>
    <n v="0.01"/>
    <n v="0.01"/>
    <n v="0.184"/>
    <n v="0.20749999999999999"/>
    <n v="0.32"/>
    <n v="0"/>
    <n v="0.28000000000000003"/>
    <n v="0"/>
    <n v="0.24"/>
    <n v="0.1302142857142857"/>
    <n v="7.860526465060523E-2"/>
    <n v="3.9788055837508045E-2"/>
    <x v="0"/>
    <n v="0.41999999999999987"/>
    <n v="0.12"/>
    <n v="3.218"/>
  </r>
  <r>
    <x v="212"/>
    <n v="2018"/>
    <n v="0.5"/>
    <n v="0.19"/>
    <n v="0"/>
    <n v="0"/>
    <n v="0.184"/>
    <n v="0.20499999999999999"/>
    <n v="0.31"/>
    <n v="0"/>
    <n v="0.28000000000000003"/>
    <n v="0"/>
    <n v="0.23"/>
    <n v="0.12842857142857142"/>
    <n v="7.6391411381658808E-2"/>
    <n v="3.4038803726572968E-2"/>
    <x v="0"/>
    <n v="0.42999999999999977"/>
    <n v="0.13500000000000001"/>
    <n v="3.262"/>
  </r>
  <r>
    <x v="213"/>
    <n v="2018"/>
    <n v="0.5"/>
    <n v="0.18"/>
    <n v="0"/>
    <n v="0"/>
    <n v="0.17829999999999999"/>
    <n v="0.21249999999999999"/>
    <n v="0.31"/>
    <n v="0"/>
    <n v="0.27"/>
    <n v="0"/>
    <n v="0.24"/>
    <n v="0.12868571428571429"/>
    <n v="7.8509530598276367E-2"/>
    <n v="3.0781009817128155E-2"/>
    <x v="0"/>
    <n v="0.44499999999999962"/>
    <n v="0.14000000000000001"/>
    <n v="3.3650000000000002"/>
  </r>
  <r>
    <x v="214"/>
    <n v="2018"/>
    <n v="0.51"/>
    <n v="0.2"/>
    <n v="0.01"/>
    <n v="0.01"/>
    <n v="0.1898"/>
    <n v="0.23499999999999999"/>
    <n v="0.32"/>
    <n v="0"/>
    <n v="0.28999999999999998"/>
    <n v="0"/>
    <n v="0.24"/>
    <n v="0.13639999999999999"/>
    <n v="8.1163860642936278E-2"/>
    <n v="3.4239455344461163E-2"/>
    <x v="0"/>
    <n v="0.45499999999999952"/>
    <n v="0.14499999999999999"/>
    <n v="3.3"/>
  </r>
  <r>
    <x v="215"/>
    <n v="2018"/>
    <n v="0.53"/>
    <n v="0.22"/>
    <n v="0.03"/>
    <n v="0.03"/>
    <n v="0.20699999999999999"/>
    <n v="0.22500000000000001"/>
    <n v="0.35"/>
    <n v="0"/>
    <n v="0.31"/>
    <n v="0"/>
    <n v="0.26"/>
    <n v="0.14314285714285716"/>
    <n v="8.5652764489890065E-2"/>
    <n v="3.6714491288492669E-2"/>
    <x v="0"/>
    <n v="0.46499999999999941"/>
    <n v="0.15"/>
    <n v="3.1230000000000002"/>
  </r>
  <r>
    <x v="216"/>
    <n v="2019"/>
    <n v="0.52"/>
    <n v="0.21"/>
    <n v="0.02"/>
    <n v="0.01"/>
    <n v="0.19550000000000001"/>
    <n v="0.1875"/>
    <n v="0.33"/>
    <n v="0"/>
    <n v="0.3"/>
    <n v="0"/>
    <n v="0.25"/>
    <n v="0.13328571428571429"/>
    <n v="8.4064640368242322E-2"/>
    <n v="3.4259920846763742E-2"/>
    <x v="0"/>
    <n v="0.46999999999999936"/>
    <n v="0.14000000000000001"/>
    <n v="2.98"/>
  </r>
  <r>
    <x v="217"/>
    <n v="2019"/>
    <n v="0.47"/>
    <n v="0.16"/>
    <n v="0"/>
    <n v="0"/>
    <n v="0.161"/>
    <n v="0.16"/>
    <n v="0.28999999999999998"/>
    <n v="0"/>
    <n v="0.25"/>
    <n v="0"/>
    <n v="0.21"/>
    <n v="0.11157142857142856"/>
    <n v="7.0574740476075523E-2"/>
    <n v="3.2569162504328668E-2"/>
    <x v="0"/>
    <n v="0.45499999999999952"/>
    <n v="0.14000000000000001"/>
    <n v="2.9969999999999999"/>
  </r>
  <r>
    <x v="218"/>
    <n v="2019"/>
    <n v="0.44"/>
    <n v="0.13"/>
    <n v="0"/>
    <n v="0"/>
    <n v="0.1323"/>
    <n v="0.1525"/>
    <n v="0.25"/>
    <n v="0"/>
    <n v="0.22"/>
    <n v="0"/>
    <n v="0.18"/>
    <n v="9.7828571428571445E-2"/>
    <n v="6.1471798078315876E-2"/>
    <n v="3.1726914046389713E-2"/>
    <x v="0"/>
    <n v="0.45999999999999946"/>
    <n v="0.16500000000000001"/>
    <n v="3.0760000000000001"/>
  </r>
  <r>
    <x v="219"/>
    <n v="2019"/>
    <n v="0.44"/>
    <n v="0.13"/>
    <n v="0"/>
    <n v="0"/>
    <n v="0.13800000000000001"/>
    <n v="0.17499999999999999"/>
    <n v="0.25"/>
    <n v="0"/>
    <n v="0.22"/>
    <n v="0"/>
    <n v="0.18"/>
    <n v="0.10185714285714287"/>
    <n v="6.3335514943749699E-2"/>
    <n v="3.1354871030661917E-2"/>
    <x v="0"/>
    <n v="0.48499999999999921"/>
    <n v="0.155"/>
    <n v="3.121"/>
  </r>
  <r>
    <x v="220"/>
    <n v="2019"/>
    <n v="0.46"/>
    <n v="0.15"/>
    <n v="0"/>
    <n v="0"/>
    <n v="0.14949999999999999"/>
    <n v="0.18"/>
    <n v="0.27"/>
    <n v="0"/>
    <n v="0.24"/>
    <n v="0"/>
    <n v="0.2"/>
    <n v="0.10992857142857144"/>
    <n v="6.9034491735470688E-2"/>
    <n v="3.1012448290525647E-2"/>
    <x v="0"/>
    <n v="0.46499999999999941"/>
    <n v="0.15"/>
    <n v="3.161"/>
  </r>
  <r>
    <x v="221"/>
    <n v="2019"/>
    <n v="0.47"/>
    <n v="0.16"/>
    <n v="0"/>
    <n v="0"/>
    <n v="0.161"/>
    <n v="0.1925"/>
    <n v="0.28999999999999998"/>
    <n v="0"/>
    <n v="0.25"/>
    <n v="0"/>
    <n v="0.21"/>
    <n v="0.11621428571428571"/>
    <n v="7.286806890058424E-2"/>
    <n v="3.4165728019214067E-2"/>
    <x v="0"/>
    <n v="0.46999999999999936"/>
    <n v="0.22500000000000001"/>
    <n v="3.089"/>
  </r>
  <r>
    <x v="222"/>
    <n v="2019"/>
    <n v="0.48"/>
    <n v="0.17"/>
    <n v="0"/>
    <n v="0"/>
    <n v="0.1668"/>
    <n v="0.17749999999999999"/>
    <n v="0.3"/>
    <n v="0"/>
    <n v="0.26"/>
    <n v="0"/>
    <n v="0.22"/>
    <n v="0.11775714285714287"/>
    <n v="7.4485109442647232E-2"/>
    <n v="4.1957262954826435E-2"/>
    <x v="0"/>
    <n v="0.46499999999999941"/>
    <n v="0.22500000000000001"/>
    <n v="3.0449999999999999"/>
  </r>
  <r>
    <x v="223"/>
    <n v="2019"/>
    <n v="0.46"/>
    <n v="0.15"/>
    <n v="0"/>
    <n v="0"/>
    <n v="0.15529999999999999"/>
    <n v="0.17"/>
    <n v="0.28000000000000003"/>
    <n v="0"/>
    <n v="0.24"/>
    <n v="0"/>
    <n v="0.2"/>
    <n v="0.10932857142857144"/>
    <n v="6.8609722772117882E-2"/>
    <n v="4.3602306244066878E-2"/>
    <x v="0"/>
    <n v="0.45999999999999946"/>
    <n v="0.22"/>
    <n v="3.0049999999999999"/>
  </r>
  <r>
    <x v="224"/>
    <n v="2019"/>
    <n v="0.45"/>
    <n v="0.14000000000000001"/>
    <n v="0"/>
    <n v="0"/>
    <n v="0.14380000000000001"/>
    <n v="0.16250000000000001"/>
    <n v="0.27"/>
    <n v="0"/>
    <n v="0.23"/>
    <n v="0"/>
    <n v="0.19"/>
    <n v="0.10375714285714285"/>
    <n v="6.5128965364621053E-2"/>
    <n v="4.1402662115369519E-2"/>
    <x v="0"/>
    <n v="0.46499999999999941"/>
    <n v="0.22"/>
    <n v="3.016"/>
  </r>
  <r>
    <x v="225"/>
    <n v="2019"/>
    <n v="0.44"/>
    <n v="0.13"/>
    <n v="0"/>
    <n v="0"/>
    <n v="0.13800000000000001"/>
    <n v="0.16"/>
    <n v="0.26"/>
    <n v="0"/>
    <n v="0.22"/>
    <n v="0"/>
    <n v="0.19"/>
    <n v="0.10114285714285713"/>
    <n v="6.437150628490497E-2"/>
    <n v="4.4487980792863979E-2"/>
    <x v="0"/>
    <n v="0.46999999999999936"/>
    <n v="0.22500000000000001"/>
    <n v="3.0529999999999999"/>
  </r>
  <r>
    <x v="226"/>
    <n v="2019"/>
    <n v="0.45"/>
    <n v="0.13"/>
    <n v="0"/>
    <n v="0"/>
    <n v="0.13800000000000001"/>
    <n v="0.17"/>
    <n v="0.26"/>
    <n v="0"/>
    <n v="0.22"/>
    <n v="0"/>
    <n v="0.19"/>
    <n v="0.10257142857142856"/>
    <n v="6.5077145800138417E-2"/>
    <n v="5.050996859318977E-2"/>
    <x v="0"/>
    <n v="0.47499999999999931"/>
    <n v="0.22"/>
    <n v="3.069"/>
  </r>
  <r>
    <x v="227"/>
    <n v="2019"/>
    <n v="0.46"/>
    <n v="0.14000000000000001"/>
    <n v="0"/>
    <n v="0"/>
    <n v="0.14949999999999999"/>
    <n v="0.17249999999999999"/>
    <n v="0.27"/>
    <n v="0"/>
    <n v="0.23"/>
    <n v="0"/>
    <n v="0.2"/>
    <n v="0.10742857142857143"/>
    <n v="6.8205083450018508E-2"/>
    <n v="5.4476829531648931E-2"/>
    <x v="0"/>
    <n v="0.46999999999999936"/>
    <n v="0.22500000000000001"/>
    <n v="3.0550000000000002"/>
  </r>
  <r>
    <x v="228"/>
    <n v="2020"/>
    <n v="0.46"/>
    <n v="0.15"/>
    <n v="0"/>
    <n v="0"/>
    <n v="0.14949999999999999"/>
    <n v="0.17"/>
    <n v="0.27"/>
    <n v="0"/>
    <n v="0.24"/>
    <n v="0"/>
    <n v="0.2"/>
    <n v="0.10850000000000001"/>
    <n v="6.9875350005412368E-2"/>
    <n v="5.3864826154540996E-2"/>
    <x v="0"/>
    <n v="0.47499999999999931"/>
    <n v="0.23499999999999999"/>
    <n v="3.048"/>
  </r>
  <r>
    <x v="229"/>
    <n v="2020"/>
    <n v="0.46"/>
    <n v="0.14000000000000001"/>
    <n v="0"/>
    <n v="0"/>
    <n v="0.14949999999999999"/>
    <n v="0.17249999999999999"/>
    <n v="0.27"/>
    <n v="0"/>
    <n v="0.23"/>
    <n v="0"/>
    <n v="0.2"/>
    <n v="0.10742857142857143"/>
    <n v="6.9800445630032459E-2"/>
    <n v="5.2282381413090051E-2"/>
    <x v="0"/>
    <n v="0.47999999999999926"/>
    <n v="0.23499999999999999"/>
    <n v="2.91"/>
  </r>
  <r>
    <x v="230"/>
    <n v="2020"/>
    <n v="0.45"/>
    <n v="0.14000000000000001"/>
    <n v="0"/>
    <n v="0"/>
    <n v="0.14380000000000001"/>
    <n v="0.14500000000000002"/>
    <n v="0.27"/>
    <n v="0"/>
    <n v="0.23"/>
    <n v="0"/>
    <n v="0.19"/>
    <n v="0.10125714285714287"/>
    <n v="6.5373678533228466E-2"/>
    <n v="5.2217513405828336E-2"/>
    <x v="0"/>
    <n v="0.48499999999999921"/>
    <n v="0.215"/>
    <n v="2.7290000000000001"/>
  </r>
  <r>
    <x v="231"/>
    <n v="2020"/>
    <n v="0.42"/>
    <n v="0.11"/>
    <n v="0"/>
    <n v="0"/>
    <n v="0.1208"/>
    <n v="0.11"/>
    <n v="0.23"/>
    <n v="0"/>
    <n v="0.2"/>
    <n v="0"/>
    <n v="0.17"/>
    <n v="8.5828571428571435E-2"/>
    <n v="5.6601171642881309E-2"/>
    <n v="5.2466709345245145E-2"/>
    <x v="0"/>
    <n v="0.45499999999999952"/>
    <n v="0.185"/>
    <n v="2.4929999999999999"/>
  </r>
  <r>
    <x v="232"/>
    <n v="2020"/>
    <n v="0.37"/>
    <n v="0.06"/>
    <n v="0"/>
    <n v="0"/>
    <n v="8.6300000000000002E-2"/>
    <n v="6.25E-2"/>
    <n v="0.19"/>
    <n v="0"/>
    <n v="0.15"/>
    <n v="0"/>
    <n v="0.13"/>
    <n v="6.125714285714285E-2"/>
    <n v="4.1418848250370351E-2"/>
    <n v="5.4023945535682544E-2"/>
    <x v="0"/>
    <n v="0.41499999999999992"/>
    <n v="0.14000000000000001"/>
    <n v="2.3919999999999999"/>
  </r>
  <r>
    <x v="233"/>
    <n v="2020"/>
    <n v="0.32"/>
    <n v="0"/>
    <n v="0"/>
    <n v="0"/>
    <n v="4.0300000000000002E-2"/>
    <n v="3.2500000000000001E-2"/>
    <n v="0.13"/>
    <n v="0"/>
    <n v="0.09"/>
    <n v="0"/>
    <n v="0.08"/>
    <n v="3.4685714285714285E-2"/>
    <n v="2.4399468983407911E-2"/>
    <n v="5.7847737241151526E-2"/>
    <x v="0"/>
    <n v="0.38"/>
    <n v="0.125"/>
    <n v="2.4079999999999999"/>
  </r>
  <r>
    <x v="234"/>
    <n v="2020"/>
    <n v="0.28999999999999998"/>
    <n v="-0.02"/>
    <n v="0"/>
    <n v="0"/>
    <n v="2.3E-2"/>
    <n v="3.2500000000000001E-2"/>
    <n v="0.1"/>
    <n v="0"/>
    <n v="7.0000000000000007E-2"/>
    <n v="0"/>
    <n v="0.06"/>
    <n v="2.6499999999999999E-2"/>
    <n v="1.8575582244743011E-2"/>
    <n v="6.1151896951006562E-2"/>
    <x v="0"/>
    <n v="0.38"/>
    <n v="0.16"/>
    <n v="2.4340000000000002"/>
  </r>
  <r>
    <x v="235"/>
    <n v="2020"/>
    <n v="0.28999999999999998"/>
    <n v="-0.02"/>
    <n v="0"/>
    <n v="0"/>
    <n v="2.3E-2"/>
    <n v="0.04"/>
    <n v="0.11"/>
    <n v="0"/>
    <n v="7.0000000000000007E-2"/>
    <n v="0"/>
    <n v="7.0000000000000007E-2"/>
    <n v="2.9000000000000001E-2"/>
    <n v="2.1341200301880851E-2"/>
    <n v="5.8513784958641596E-2"/>
    <x v="0"/>
    <n v="0.41"/>
    <n v="0.185"/>
    <n v="2.4289999999999998"/>
  </r>
  <r>
    <x v="236"/>
    <n v="2020"/>
    <n v="0.3"/>
    <n v="-0.01"/>
    <n v="0"/>
    <n v="0"/>
    <n v="2.8799999999999999E-2"/>
    <n v="0.04"/>
    <n v="0.11"/>
    <n v="0"/>
    <n v="0.08"/>
    <n v="0"/>
    <n v="7.0000000000000007E-2"/>
    <n v="3.1257142857142858E-2"/>
    <n v="2.1869517830878597E-2"/>
    <n v="5.6208493435722463E-2"/>
    <x v="0"/>
    <n v="0.42999999999999977"/>
    <n v="0.185"/>
    <n v="2.4140000000000001"/>
  </r>
  <r>
    <x v="237"/>
    <n v="2020"/>
    <n v="0.3"/>
    <n v="-0.01"/>
    <n v="0"/>
    <n v="0"/>
    <n v="2.8799999999999999E-2"/>
    <n v="3.7500000000000006E-2"/>
    <n v="0.11"/>
    <n v="0"/>
    <n v="0.08"/>
    <n v="0"/>
    <n v="7.0000000000000007E-2"/>
    <n v="3.09E-2"/>
    <n v="2.1696294011359137E-2"/>
    <n v="5.9488792884003348E-2"/>
    <x v="0"/>
    <n v="0.42999999999999977"/>
    <n v="0.16"/>
    <n v="2.3889999999999998"/>
  </r>
  <r>
    <x v="238"/>
    <n v="2020"/>
    <n v="0.3"/>
    <n v="-0.02"/>
    <n v="0"/>
    <n v="0"/>
    <n v="2.3E-2"/>
    <n v="0.03"/>
    <n v="0.11"/>
    <n v="0"/>
    <n v="7.0000000000000007E-2"/>
    <n v="0"/>
    <n v="7.0000000000000007E-2"/>
    <n v="2.7571428571428573E-2"/>
    <n v="2.0648305023803017E-2"/>
    <n v="6.4827607005327664E-2"/>
    <x v="0"/>
    <n v="0.40500000000000003"/>
    <n v="0.14000000000000001"/>
    <n v="2.4319999999999999"/>
  </r>
  <r>
    <x v="239"/>
    <n v="2020"/>
    <n v="0.28999999999999998"/>
    <n v="-0.02"/>
    <n v="0"/>
    <n v="0"/>
    <n v="1.7299999999999999E-2"/>
    <n v="3.7499999999999999E-2"/>
    <n v="0.1"/>
    <n v="0"/>
    <n v="7.0000000000000007E-2"/>
    <n v="0"/>
    <n v="0.06"/>
    <n v="2.6400000000000003E-2"/>
    <n v="1.8646671400271448E-2"/>
    <n v="6.7917055766019266E-2"/>
    <x v="0"/>
    <n v="0.41"/>
    <n v="0.13500000000000001"/>
    <n v="2.585"/>
  </r>
  <r>
    <x v="240"/>
    <n v="2021"/>
    <n v="0.3"/>
    <n v="-0.01"/>
    <n v="0"/>
    <n v="0"/>
    <n v="2.8799999999999999E-2"/>
    <n v="6.7500000000000004E-2"/>
    <n v="0.11"/>
    <n v="0"/>
    <n v="0.08"/>
    <n v="0"/>
    <n v="7.0000000000000007E-2"/>
    <n v="3.5185714285714285E-2"/>
    <n v="2.519392248255364E-2"/>
    <n v="6.9573848522341122E-2"/>
    <x v="0"/>
    <n v="0.41499999999999992"/>
    <n v="0.17499999999999999"/>
    <n v="2.681"/>
  </r>
  <r>
    <x v="241"/>
    <n v="2021"/>
    <n v="0.34"/>
    <n v="0.03"/>
    <n v="0"/>
    <n v="0"/>
    <n v="5.7500000000000002E-2"/>
    <n v="9.2499999999999999E-2"/>
    <n v="0.15"/>
    <n v="0"/>
    <n v="0.12"/>
    <n v="0"/>
    <n v="0.1"/>
    <n v="5.2857142857142859E-2"/>
    <n v="3.6659594218519539E-2"/>
    <n v="6.5556572543620004E-2"/>
    <x v="0"/>
    <n v="0.43999999999999967"/>
    <n v="0.2"/>
    <n v="2.847"/>
  </r>
  <r>
    <x v="242"/>
    <n v="2021"/>
    <n v="0.36"/>
    <n v="0.05"/>
    <n v="0"/>
    <n v="0"/>
    <n v="7.4800000000000005E-2"/>
    <n v="0.125"/>
    <n v="0.18"/>
    <n v="0"/>
    <n v="0.14000000000000001"/>
    <n v="0"/>
    <n v="0.12"/>
    <n v="6.5685714285714278E-2"/>
    <n v="4.5221085434282833E-2"/>
    <n v="6.311033678535212E-2"/>
    <x v="0"/>
    <n v="0.46499999999999941"/>
    <n v="0.23499999999999999"/>
    <n v="3.1520000000000001"/>
  </r>
  <r>
    <x v="243"/>
    <n v="2021"/>
    <n v="0.4"/>
    <n v="0.09"/>
    <n v="0"/>
    <n v="0"/>
    <n v="0.114"/>
    <n v="0.19"/>
    <n v="0.22"/>
    <n v="0"/>
    <n v="0.18"/>
    <n v="0"/>
    <n v="0.15"/>
    <n v="9.0571428571428567E-2"/>
    <n v="6.0210713302141075E-2"/>
    <n v="6.0588580539761516E-2"/>
    <x v="0"/>
    <n v="0.49499999999999911"/>
    <n v="0.245"/>
    <n v="3.13"/>
  </r>
  <r>
    <x v="244"/>
    <n v="2021"/>
    <n v="0.48"/>
    <n v="0.17"/>
    <n v="0"/>
    <n v="0"/>
    <n v="0.17399999999999999"/>
    <n v="0.1875"/>
    <n v="0.28999999999999998"/>
    <n v="0"/>
    <n v="0.26"/>
    <n v="0"/>
    <n v="0.22"/>
    <n v="0.1202142857142857"/>
    <n v="8.1686674401634879E-2"/>
    <n v="5.7016229566643546E-2"/>
    <x v="0"/>
    <n v="0.50499999999999901"/>
    <n v="0.245"/>
    <n v="3.2170000000000001"/>
  </r>
  <r>
    <x v="245"/>
    <n v="2021"/>
    <n v="0.48"/>
    <n v="0.16"/>
    <n v="0"/>
    <n v="0"/>
    <n v="0.16800000000000001"/>
    <n v="0.20250000000000001"/>
    <n v="0.28999999999999998"/>
    <n v="0"/>
    <n v="0.25"/>
    <n v="0"/>
    <n v="0.21"/>
    <n v="0.11864285714285715"/>
    <n v="7.9884699980476995E-2"/>
    <n v="5.5082490770735133E-2"/>
    <x v="0"/>
    <n v="0.50499999999999901"/>
    <n v="0.26"/>
    <n v="3.2869999999999999"/>
  </r>
  <r>
    <x v="246"/>
    <n v="2021"/>
    <n v="0.5"/>
    <n v="0.18"/>
    <n v="0"/>
    <n v="0"/>
    <n v="0.186"/>
    <n v="0.2175"/>
    <n v="0.31"/>
    <n v="0"/>
    <n v="0.27"/>
    <n v="0"/>
    <n v="0.23"/>
    <n v="0.12907142857142856"/>
    <n v="8.7165967030625874E-2"/>
    <n v="5.6736197078246897E-2"/>
    <x v="0"/>
    <n v="0.51499999999999879"/>
    <n v="0.26"/>
    <n v="3.339"/>
  </r>
  <r>
    <x v="247"/>
    <n v="2021"/>
    <n v="0.51"/>
    <n v="0.2"/>
    <n v="0.01"/>
    <n v="0.01"/>
    <n v="0.19800000000000001"/>
    <n v="0.22750000000000001"/>
    <n v="0.33"/>
    <n v="0"/>
    <n v="0.28999999999999998"/>
    <n v="0"/>
    <n v="0.24"/>
    <n v="0.13650000000000001"/>
    <n v="9.1414590584866035E-2"/>
    <n v="5.6185395908201319E-2"/>
    <x v="0"/>
    <n v="0.51499999999999879"/>
    <n v="0.25"/>
    <n v="3.35"/>
  </r>
  <r>
    <x v="248"/>
    <n v="2021"/>
    <n v="0.53"/>
    <n v="0.21"/>
    <n v="0.03"/>
    <n v="0.02"/>
    <n v="0.21"/>
    <n v="0.23249999999999998"/>
    <n v="0.34"/>
    <n v="0"/>
    <n v="0.3"/>
    <n v="0"/>
    <n v="0.25"/>
    <n v="0.14178571428571426"/>
    <n v="9.501559241913729E-2"/>
    <n v="5.4463298192386156E-2"/>
    <x v="0"/>
    <n v="0.49999999999999906"/>
    <n v="0.25"/>
    <n v="3.3839999999999999"/>
  </r>
  <r>
    <x v="249"/>
    <n v="2021"/>
    <n v="0.53"/>
    <n v="0.22"/>
    <n v="0.03"/>
    <n v="0.03"/>
    <n v="0.216"/>
    <n v="0.23749999999999999"/>
    <n v="0.34"/>
    <n v="0"/>
    <n v="0.31"/>
    <n v="0"/>
    <n v="0.26"/>
    <n v="0.14621428571428571"/>
    <n v="9.8320199476070957E-2"/>
    <n v="5.4859110298180157E-2"/>
    <x v="0"/>
    <n v="0.49499999999999911"/>
    <n v="0.25"/>
    <n v="3.6120000000000001"/>
  </r>
  <r>
    <x v="250"/>
    <n v="2021"/>
    <n v="0.54"/>
    <n v="0.23"/>
    <n v="0.04"/>
    <n v="0.03"/>
    <n v="0.26400000000000001"/>
    <n v="0.28249999999999997"/>
    <n v="0.35"/>
    <n v="0"/>
    <n v="0.32"/>
    <n v="0"/>
    <n v="0.26"/>
    <n v="0.16092857142857145"/>
    <n v="0.10434424468629211"/>
    <n v="5.5629770488959236E-2"/>
    <x v="0"/>
    <n v="0.49499999999999911"/>
    <n v="0.26"/>
    <n v="3.7269999999999999"/>
  </r>
  <r>
    <x v="251"/>
    <n v="2021"/>
    <n v="0.6"/>
    <n v="0.28000000000000003"/>
    <n v="0.1"/>
    <n v="0.08"/>
    <n v="0.318"/>
    <n v="0.31"/>
    <n v="0.41"/>
    <n v="0"/>
    <n v="0.37"/>
    <n v="0"/>
    <n v="0.33"/>
    <n v="0.18971428571428572"/>
    <n v="0.12696186927903713"/>
    <n v="5.750150644672667E-2"/>
    <x v="0"/>
    <n v="0.50499999999999901"/>
    <n v="0.255"/>
    <n v="3.641"/>
  </r>
  <r>
    <x v="252"/>
    <n v="2022"/>
    <n v="0.62"/>
    <n v="0.31"/>
    <n v="0.12"/>
    <n v="0.1"/>
    <n v="0.34799999999999998"/>
    <n v="0.29749999999999999"/>
    <n v="0.44"/>
    <n v="0"/>
    <n v="0.4"/>
    <n v="0"/>
    <n v="0.33"/>
    <n v="0.21364285714285716"/>
    <n v="0.18348824681162695"/>
    <n v="5.9711304285402778E-2"/>
    <x v="0"/>
    <n v="0.49999999999999906"/>
    <n v="0.26500000000000001"/>
    <n v="3.7240000000000002"/>
  </r>
  <r>
    <x v="253"/>
    <n v="2022"/>
    <n v="0.6"/>
    <n v="0.28999999999999998"/>
    <n v="0.1"/>
    <n v="0.08"/>
    <n v="0.32400000000000001"/>
    <n v="0.30249999999999999"/>
    <n v="0.42"/>
    <n v="0"/>
    <n v="0.38"/>
    <n v="0"/>
    <n v="0.31"/>
    <n v="0.20235714285714287"/>
    <n v="0.1685303250378159"/>
    <n v="5.9011593441542505E-2"/>
    <x v="0"/>
    <n v="0.5099999999999989"/>
    <n v="0.27500000000000002"/>
    <n v="4.032"/>
  </r>
  <r>
    <x v="254"/>
    <n v="2022"/>
    <n v="0.62"/>
    <n v="0.31"/>
    <n v="0.12"/>
    <n v="0.1"/>
    <n v="0.37"/>
    <n v="0.36"/>
    <n v="0.44"/>
    <n v="0"/>
    <n v="0.4"/>
    <n v="0"/>
    <n v="0.33"/>
    <n v="0.22571428571428573"/>
    <n v="0.18962084377219568"/>
    <n v="5.7355520681942392E-2"/>
    <x v="0"/>
    <n v="0.52999999999999847"/>
    <n v="0.28000000000000003"/>
    <n v="5.1050000000000004"/>
  </r>
  <r>
    <x v="255"/>
    <n v="2022"/>
    <n v="0.7"/>
    <n v="0.39"/>
    <n v="0.2"/>
    <n v="0.16"/>
    <n v="0.45450000000000002"/>
    <n v="0.54"/>
    <n v="0.51"/>
    <n v="0.08"/>
    <n v="0.48"/>
    <n v="0"/>
    <n v="0.39"/>
    <n v="0.29492857142857148"/>
    <n v="0.25934448740523186"/>
    <n v="6.0049133296257363E-2"/>
    <x v="0"/>
    <n v="0.52499999999999858"/>
    <n v="0.28999999999999998"/>
    <n v="5.12"/>
  </r>
  <r>
    <x v="256"/>
    <n v="2022"/>
    <n v="0.97"/>
    <n v="0.66"/>
    <n v="0.47"/>
    <n v="0.38"/>
    <n v="0.73399999999999999"/>
    <n v="0.60499999999999998"/>
    <n v="0.78"/>
    <n v="0.34"/>
    <n v="0.75"/>
    <n v="0"/>
    <n v="0.61"/>
    <n v="0.45271428571428574"/>
    <n v="0.45717561953743946"/>
    <n v="6.4046671462491975E-2"/>
    <x v="0"/>
    <n v="0.54499999999999815"/>
    <n v="0.29749999999999999"/>
    <n v="5.5709999999999997"/>
  </r>
  <r>
    <x v="257"/>
    <n v="2022"/>
    <n v="0.97"/>
    <n v="0.66"/>
    <n v="0.47"/>
    <n v="0.38"/>
    <n v="0.73399999999999999"/>
    <n v="0.69750000000000001"/>
    <n v="0.79"/>
    <n v="0.35"/>
    <n v="0.75"/>
    <n v="0"/>
    <n v="0.61"/>
    <n v="0.46592857142857141"/>
    <n v="0.46418008093781904"/>
    <n v="5.9050745954823049E-2"/>
    <x v="0"/>
    <n v="0.55999999999999783"/>
    <n v="0.30499999999999999"/>
    <n v="5.7539999999999996"/>
  </r>
  <r>
    <x v="258"/>
    <n v="2022"/>
    <n v="1.0900000000000001"/>
    <n v="0.77"/>
    <n v="0.59"/>
    <n v="0.47"/>
    <n v="0.85099999999999998"/>
    <n v="0.71499999999999997"/>
    <n v="0.9"/>
    <n v="0.46"/>
    <n v="0.86"/>
    <n v="0"/>
    <n v="0.7"/>
    <n v="0.53085714285714281"/>
    <n v="0.54872168108885422"/>
    <n v="6.0075552906005379E-2"/>
    <x v="0"/>
    <n v="0.56499999999999773"/>
    <n v="0.31"/>
    <n v="5.4859999999999998"/>
  </r>
  <r>
    <x v="259"/>
    <n v="2022"/>
    <n v="1.1299999999999999"/>
    <n v="0.82"/>
    <n v="0.63"/>
    <n v="0.51"/>
    <n v="0.90300000000000002"/>
    <n v="0.6825"/>
    <n v="0.94"/>
    <n v="0.51"/>
    <n v="0.91"/>
    <n v="0"/>
    <n v="0.74"/>
    <n v="0.55221428571428566"/>
    <n v="0.57749144489080018"/>
    <n v="6.0455171219621594E-2"/>
    <x v="0"/>
    <n v="0.56999999999999762"/>
    <n v="0.315"/>
    <n v="5.0129999999999999"/>
  </r>
  <r>
    <x v="260"/>
    <n v="2022"/>
    <n v="1.06"/>
    <n v="0.75"/>
    <n v="0.56000000000000005"/>
    <n v="0.45"/>
    <n v="0.83150000000000002"/>
    <n v="0.57250000000000001"/>
    <n v="0.88"/>
    <n v="0.44"/>
    <n v="0.84"/>
    <n v="0"/>
    <n v="0.68"/>
    <n v="0.49771428571428578"/>
    <n v="0.5185398332522585"/>
    <n v="6.0671358538212317E-2"/>
    <x v="0"/>
    <n v="0.57499999999999751"/>
    <n v="0.32"/>
    <n v="4.9930000000000003"/>
  </r>
  <r>
    <x v="261"/>
    <n v="2022"/>
    <n v="0.95"/>
    <n v="0.63"/>
    <n v="0.45"/>
    <n v="0.36"/>
    <n v="0.70799999999999996"/>
    <n v="0.58499999999999996"/>
    <n v="0.76"/>
    <n v="0.32"/>
    <n v="0.72"/>
    <n v="0"/>
    <n v="0.59"/>
    <n v="0.43614285714285711"/>
    <n v="0.43989415126815523"/>
    <n v="6.1462666590778349E-2"/>
    <x v="0"/>
    <n v="0.57999999999999741"/>
    <n v="0.32500000000000001"/>
    <n v="5.2110000000000003"/>
  </r>
  <r>
    <x v="262"/>
    <n v="2022"/>
    <n v="0.94"/>
    <n v="0.63"/>
    <n v="0.44"/>
    <n v="0.35"/>
    <n v="0.70150000000000001"/>
    <n v="0.61250000000000004"/>
    <n v="0.75"/>
    <n v="0.32"/>
    <n v="0.72"/>
    <n v="0"/>
    <n v="0.57999999999999996"/>
    <n v="0.43628571428571433"/>
    <n v="0.4349614407266742"/>
    <n v="6.3356565170077858E-2"/>
    <x v="0"/>
    <n v="0.5849999999999973"/>
    <n v="0.32500000000000001"/>
    <n v="5.2549999999999999"/>
  </r>
  <r>
    <x v="263"/>
    <n v="2022"/>
    <n v="1"/>
    <n v="0.68"/>
    <n v="0.5"/>
    <n v="0.4"/>
    <n v="0.76"/>
    <n v="0.63749999999999996"/>
    <n v="0.81"/>
    <n v="0.37"/>
    <n v="0.77"/>
    <n v="0"/>
    <n v="0.63"/>
    <n v="0.47107142857142853"/>
    <n v="0.47944143046480625"/>
    <n v="7.1271208043109033E-2"/>
    <x v="0"/>
    <n v="0.58999999999999719"/>
    <n v="0.33"/>
    <n v="4.7140000000000004"/>
  </r>
  <r>
    <x v="264"/>
    <n v="2023"/>
    <n v="1.01"/>
    <n v="0.69"/>
    <n v="0.51"/>
    <n v="0.41"/>
    <n v="0.77300000000000002"/>
    <n v="0.54749999999999999"/>
    <n v="0.82"/>
    <n v="0.38"/>
    <n v="0.78"/>
    <n v="0"/>
    <n v="0.64"/>
    <n v="0.46435714285714286"/>
    <n v="0.47272277853203226"/>
    <n v="9.2852506433197646E-2"/>
    <x v="0"/>
    <n v="0.58999999999999719"/>
    <n v="0.33"/>
    <n v="4.5759999999999996"/>
  </r>
  <r>
    <x v="265"/>
    <n v="2023"/>
    <n v="0.87"/>
    <n v="0.56000000000000005"/>
    <n v="0.37"/>
    <n v="0.3"/>
    <n v="0.63"/>
    <n v="0.48649999999999999"/>
    <n v="0.68"/>
    <n v="0.25"/>
    <n v="0.65"/>
    <n v="0"/>
    <n v="0.53"/>
    <n v="0.38092857142857145"/>
    <n v="0.37164152015273655"/>
    <n v="9.1663454962122637E-2"/>
    <x v="0"/>
    <n v="0.56999999999999762"/>
    <n v="0.33"/>
    <n v="4.4130000000000003"/>
  </r>
  <r>
    <x v="266"/>
    <n v="2023"/>
    <n v="0.84"/>
    <n v="0.52"/>
    <n v="0.34"/>
    <n v="0.27"/>
    <n v="0.59750000000000003"/>
    <n v="0.47250000000000003"/>
    <n v="0.65"/>
    <n v="0.21"/>
    <n v="0.61"/>
    <n v="0"/>
    <n v="0.5"/>
    <n v="0.36"/>
    <n v="0.34786276834959695"/>
    <n v="0.10007186924656898"/>
    <x v="0"/>
    <n v="0.5849999999999973"/>
    <n v="0.315"/>
    <n v="4.2110000000000003"/>
  </r>
  <r>
    <x v="267"/>
    <n v="2023"/>
    <n v="0.8"/>
    <n v="0.48"/>
    <n v="0.3"/>
    <n v="0.24"/>
    <n v="0.55200000000000005"/>
    <n v="0.41749999999999998"/>
    <n v="0.61"/>
    <n v="0.17"/>
    <n v="0.56999999999999995"/>
    <n v="0"/>
    <n v="0.47"/>
    <n v="0.3299285714285714"/>
    <n v="0.31623736147645309"/>
    <n v="0.12538545745008475"/>
    <x v="0"/>
    <n v="0.55499999999999794"/>
    <n v="0.31"/>
    <n v="4.0990000000000002"/>
  </r>
  <r>
    <x v="268"/>
    <n v="2023"/>
    <n v="0.75"/>
    <n v="0.43"/>
    <n v="0.25"/>
    <n v="0.2"/>
    <n v="0.5"/>
    <n v="0.38750000000000001"/>
    <n v="0.56000000000000005"/>
    <n v="0.12"/>
    <n v="0.52"/>
    <n v="0"/>
    <n v="0.43"/>
    <n v="0.29821428571428571"/>
    <n v="0.27919250954603309"/>
    <n v="0.19342704739648156"/>
    <x v="0"/>
    <n v="0.56999999999999762"/>
    <n v="0.315"/>
    <n v="3.915"/>
  </r>
  <r>
    <x v="269"/>
    <n v="2023"/>
    <n v="0.72"/>
    <n v="0.4"/>
    <n v="0.22"/>
    <n v="0.17"/>
    <n v="0.46750000000000003"/>
    <n v="0.35249999999999998"/>
    <n v="0.53"/>
    <n v="0.09"/>
    <n v="0.49"/>
    <n v="0"/>
    <n v="0.4"/>
    <n v="0.27571428571428575"/>
    <n v="0.2542729338141706"/>
    <n v="0.18948808330056799"/>
    <x v="0"/>
    <n v="0.56999999999999762"/>
    <n v="0.32"/>
    <n v="3.802"/>
  </r>
  <r>
    <x v="270"/>
    <n v="2023"/>
    <n v="0.67"/>
    <n v="0.36"/>
    <n v="0.17"/>
    <n v="0.14000000000000001"/>
    <n v="0.42199999999999999"/>
    <n v="0.32750000000000001"/>
    <n v="0.48"/>
    <n v="0.05"/>
    <n v="0.45"/>
    <n v="0"/>
    <n v="0.37"/>
    <n v="0.2485"/>
    <n v="0.22064620322443784"/>
    <n v="0.21815441012140768"/>
    <x v="0"/>
    <n v="0.57999999999999741"/>
    <n v="0.32500000000000001"/>
    <n v="3.8820000000000001"/>
  </r>
  <r>
    <x v="271"/>
    <n v="2023"/>
    <n v="0.64"/>
    <n v="0.33"/>
    <n v="0.14000000000000001"/>
    <n v="0.12"/>
    <n v="0.39600000000000002"/>
    <n v="0.33"/>
    <n v="0.46"/>
    <n v="0.02"/>
    <n v="0.42"/>
    <n v="0"/>
    <n v="0.35"/>
    <n v="0.23371428571428574"/>
    <n v="0.20111590496393722"/>
    <n v="0.230082411925849"/>
    <x v="0"/>
    <n v="0.57999999999999741"/>
    <n v="0.33"/>
    <n v="4.37"/>
  </r>
  <r>
    <x v="272"/>
    <n v="2023"/>
    <n v="0.66"/>
    <n v="0.35"/>
    <n v="0.16"/>
    <n v="0.13"/>
    <n v="0.41549999999999998"/>
    <n v="0.42500000000000004"/>
    <n v="0.48"/>
    <n v="0.04"/>
    <n v="0.44"/>
    <n v="0"/>
    <n v="0.36"/>
    <n v="0.25721428571428573"/>
    <n v="0.22046146117946541"/>
    <n v="0.21180831450075813"/>
    <x v="0"/>
    <n v="0.5849999999999973"/>
    <n v="0.33500000000000002"/>
    <n v="4.5629999999999997"/>
  </r>
  <r>
    <x v="273"/>
    <n v="2023"/>
    <n v="0.79"/>
    <n v="0.47"/>
    <n v="0.28999999999999998"/>
    <n v="0.23"/>
    <n v="0.53900000000000003"/>
    <n v="0.48"/>
    <n v="0.6"/>
    <n v="0.16"/>
    <n v="0.56000000000000005"/>
    <n v="0"/>
    <n v="0.46"/>
    <n v="0.33271428571428574"/>
    <n v="0.31316605515485785"/>
    <n v="0.18663688158519509"/>
    <x v="0"/>
    <n v="0.59499999999999709"/>
    <n v="0.33500000000000002"/>
    <n v="4.5069999999999997"/>
  </r>
  <r>
    <x v="274"/>
    <n v="2023"/>
    <n v="0.83"/>
    <n v="0.52"/>
    <n v="0.33"/>
    <n v="0.27"/>
    <n v="0.59099999999999997"/>
    <n v="0.47499999999999998"/>
    <n v="0.65"/>
    <n v="0.21"/>
    <n v="0.61"/>
    <n v="0"/>
    <n v="0.5"/>
    <n v="0.35799999999999998"/>
    <n v="0.34351640135765804"/>
    <n v="0.18665133014558977"/>
    <x v="0"/>
    <n v="0.58999999999999719"/>
    <n v="0.33500000000000002"/>
    <n v="4.2539999999999996"/>
  </r>
  <r>
    <x v="275"/>
    <n v="2023"/>
    <n v="0.82"/>
    <n v="0.51"/>
    <n v="0.32"/>
    <n v="0.26"/>
    <n v="0.57799999999999996"/>
    <n v="0.4375"/>
    <n v="0.63"/>
    <n v="0.19"/>
    <n v="0.6"/>
    <n v="0"/>
    <n v="0.49"/>
    <n v="0.34649999999999992"/>
    <n v="0.33322481501909207"/>
    <n v="0.20834999038137159"/>
    <x v="0"/>
    <n v="0.57999999999999741"/>
    <n v="0.33"/>
    <n v="3.972"/>
  </r>
  <r>
    <x v="276"/>
    <n v="2024"/>
    <n v="0.76"/>
    <n v="0.44"/>
    <n v="0.26"/>
    <n v="0.21"/>
    <n v="0.51300000000000001"/>
    <n v="0.36499999999999999"/>
    <n v="0.56999999999999995"/>
    <n v="0.13"/>
    <n v="0.53"/>
    <n v="0"/>
    <n v="0.44"/>
    <n v="0.30114285714285716"/>
    <n v="0.28152724751523556"/>
    <n v="0.22713498260873763"/>
    <x v="0"/>
    <n v="0.57499999999999751"/>
    <n v="0.33"/>
    <n v="3.8540000000000001"/>
  </r>
  <r>
    <x v="277"/>
    <n v="2024"/>
    <n v="0.69"/>
    <n v="0.37"/>
    <n v="0.19"/>
    <n v="0.15"/>
    <n v="0.435"/>
    <n v="0.33500000000000002"/>
    <n v="0.5"/>
    <n v="0.06"/>
    <n v="0.46"/>
    <n v="0"/>
    <n v="0.38"/>
    <n v="0.25714285714285712"/>
    <n v="0.22919252147947383"/>
    <n v="0.19227714646969063"/>
    <x v="0"/>
    <n v="0.57999999999999741"/>
    <n v="0.33500000000000002"/>
    <n v="4.0439999999999996"/>
  </r>
  <r>
    <x v="278"/>
    <n v="2024"/>
    <n v="0.66"/>
    <n v="0.34"/>
    <n v="0.16"/>
    <n v="0.13"/>
    <n v="0.40899999999999997"/>
    <n v="0.36749999999999999"/>
    <n v="0.47"/>
    <n v="0.03"/>
    <n v="0.43"/>
    <n v="0"/>
    <n v="0.36"/>
    <n v="0.24664285714285711"/>
    <n v="0.21185362285156017"/>
    <n v="0.19423489918535849"/>
    <x v="0"/>
    <n v="0.60499999999999687"/>
    <n v="0.34499999999999997"/>
    <n v="4.0220000000000002"/>
  </r>
  <r>
    <x v="279"/>
    <n v="2024"/>
    <n v="0.7"/>
    <n v="0.39"/>
    <n v="0.2"/>
    <n v="0.16"/>
    <n v="0.45450000000000002"/>
    <n v="0.375"/>
    <n v="0.52"/>
    <n v="0.08"/>
    <n v="0.48"/>
    <n v="0"/>
    <n v="0.39"/>
    <n v="0.27135714285714291"/>
    <n v="0.24046879734643309"/>
    <n v="0.21193085406127535"/>
    <x v="0"/>
    <n v="0.60499999999999687"/>
    <n v="0.34499999999999997"/>
    <n v="4.0019999999999998"/>
  </r>
  <r>
    <x v="280"/>
    <n v="2024"/>
    <n v="0.7"/>
    <n v="0.39"/>
    <n v="0.2"/>
    <n v="0.16"/>
    <n v="0.44800000000000001"/>
    <n v="0.3725"/>
    <n v="0.51"/>
    <n v="7.0000000000000007E-2"/>
    <n v="0.48"/>
    <n v="0"/>
    <n v="0.39"/>
    <n v="0.27007142857142857"/>
    <n v="0.23997682147120117"/>
    <n v="0.27268493449503578"/>
    <x v="0"/>
    <n v="0.59999999999999698"/>
    <n v="0.34499999999999997"/>
    <n v="3.8220000000000001"/>
  </r>
  <r>
    <x v="281"/>
    <n v="2024"/>
    <n v="0.69"/>
    <n v="0.38"/>
    <n v="0.19"/>
    <n v="0.16"/>
    <n v="0.44800000000000001"/>
    <n v="0.33999999999999997"/>
    <n v="0.51"/>
    <n v="7.0000000000000007E-2"/>
    <n v="0.47"/>
    <n v="0"/>
    <n v="0.39"/>
    <n v="0.26257142857142857"/>
    <n v="0.23273134289552369"/>
    <n v="0.26611257157748885"/>
    <x v="0"/>
    <n v="0.60499999999999687"/>
    <n v="0.34499999999999997"/>
    <n v="3.722"/>
  </r>
  <r>
    <x v="282"/>
    <n v="2024"/>
    <n v="0.65"/>
    <n v="0.34"/>
    <n v="0.15"/>
    <n v="0.12"/>
    <n v="0.39600000000000002"/>
    <n v="0.3125"/>
    <n v="0.46"/>
    <n v="0.02"/>
    <n v="0.43"/>
    <n v="0"/>
    <n v="0.35"/>
    <n v="0.23407142857142857"/>
    <n v="0.20042805863374394"/>
    <n v="0.28551128378130597"/>
    <x v="1"/>
    <n v="0.5849999999999973"/>
    <n v="0.34"/>
    <n v="3.81"/>
  </r>
  <r>
    <x v="283"/>
    <n v="2024"/>
    <n v="0.62"/>
    <n v="0.31"/>
    <n v="0.12"/>
    <n v="0.1"/>
    <n v="0.37"/>
    <n v="0.33"/>
    <n v="0.44"/>
    <n v="0"/>
    <n v="0.4"/>
    <n v="0"/>
    <n v="0.33"/>
    <n v="0.22142857142857147"/>
    <n v="0.18193521294322956"/>
    <n v="0.2900073134798678"/>
    <x v="1"/>
    <n v="0.60999999999999677"/>
    <n v="0.35499999999999998"/>
    <n v="3.7"/>
  </r>
  <r>
    <x v="284"/>
    <n v="2024"/>
    <n v="0.65"/>
    <n v="0.33"/>
    <n v="0.15"/>
    <n v="0.12"/>
    <n v="0.39600000000000002"/>
    <n v="0.31"/>
    <n v="0.46"/>
    <n v="0.02"/>
    <n v="0.42"/>
    <n v="0"/>
    <n v="0.35"/>
    <n v="0.23228571428571426"/>
    <n v="0.19988323044983788"/>
    <n v="0.27800562895028708"/>
    <x v="1"/>
    <n v="0.61499999999999666"/>
    <n v="0.35499999999999998"/>
    <n v="3.5579999999999998"/>
  </r>
  <r>
    <x v="285"/>
    <n v="2024"/>
    <n v="0.62"/>
    <n v="0.31"/>
    <n v="0.12"/>
    <n v="0.1"/>
    <n v="0.37"/>
    <n v="0.27500000000000002"/>
    <n v="0.43"/>
    <n v="0"/>
    <n v="0.4"/>
    <n v="0"/>
    <n v="0.33"/>
    <n v="0.21357142857142858"/>
    <n v="0.17770407371369368"/>
    <n v="0.28379346863302801"/>
    <x v="1"/>
    <n v="0.60999999999999677"/>
    <n v="0.35"/>
    <n v="3.585"/>
  </r>
  <r>
    <x v="286"/>
    <n v="2024"/>
    <n v="0.57999999999999996"/>
    <n v="0.27"/>
    <n v="0.08"/>
    <n v="7.0000000000000007E-2"/>
    <n v="0.33100000000000002"/>
    <n v="0.27750000000000002"/>
    <n v="0.39"/>
    <n v="0"/>
    <n v="0.36"/>
    <n v="0"/>
    <n v="0.3"/>
    <n v="0.19264285714285717"/>
    <n v="0.15051035229882567"/>
    <n v="0.29427402892354143"/>
    <x v="1"/>
    <n v="0.59999999999999698"/>
    <n v="0.34499999999999997"/>
    <n v="3.5219999999999998"/>
  </r>
  <r>
    <x v="287"/>
    <n v="2024"/>
    <n v="0.59"/>
    <n v="0.28000000000000003"/>
    <n v="0.09"/>
    <n v="7.0000000000000007E-2"/>
    <n v="0.33750000000000002"/>
    <n v="0.27"/>
    <n v="0.4"/>
    <n v="0"/>
    <n v="0.37"/>
    <n v="0"/>
    <n v="0.3"/>
    <n v="0.19535714285714284"/>
    <n v="0.15497829007236641"/>
    <n v="0.31320937158764517"/>
    <x v="1"/>
    <n v="0.61999999999999655"/>
    <n v="0.35499999999999998"/>
    <n v="3.4940000000000002"/>
  </r>
  <r>
    <x v="288"/>
    <n v="2025"/>
    <n v="0.56999999999999995"/>
    <n v="0.26"/>
    <n v="7.0000000000000007E-2"/>
    <n v="0.06"/>
    <n v="0.318"/>
    <n v="0.26250000000000001"/>
    <n v="0.39"/>
    <n v="0"/>
    <n v="0.35"/>
    <n v="0"/>
    <n v="0.28999999999999998"/>
    <n v="0.18435714285714289"/>
    <n v="0.12598614434761815"/>
    <n v="0.31257942428629826"/>
    <x v="1"/>
    <n v="0.62999999999999634"/>
    <n v="0.36"/>
    <n v="3.6339999999999999"/>
  </r>
  <r>
    <x v="289"/>
    <n v="2025"/>
    <n v="0.56999999999999995"/>
    <n v="0.25"/>
    <n v="7.0000000000000007E-2"/>
    <n v="0.05"/>
    <n v="0.3115"/>
    <n v="0.28249999999999997"/>
    <n v="0.38"/>
    <n v="0"/>
    <n v="0.34"/>
    <n v="0"/>
    <n v="0.28000000000000003"/>
    <n v="0.18342857142857144"/>
    <n v="0.12381468584786162"/>
    <n v="0.25645478889000878"/>
    <x v="1"/>
    <n v="0.62499999999999645"/>
    <n v="0.39"/>
    <n v="3.6749999999999998"/>
  </r>
  <r>
    <x v="290"/>
    <n v="2025"/>
    <n v="0.6"/>
    <n v="0.28999999999999998"/>
    <n v="0.1"/>
    <n v="0.08"/>
    <n v="0.35049999999999998"/>
    <n v="0.29749999999999999"/>
    <n v="0.41"/>
    <n v="0"/>
    <n v="0.38"/>
    <n v="0"/>
    <n v="0.31"/>
    <n v="0.20542857142857146"/>
    <n v="0.14686455995827363"/>
    <n v="0.24977907832445093"/>
    <x v="1"/>
    <n v="0.64999999999999591"/>
    <n v="0.37"/>
    <n v="3.585"/>
  </r>
  <r>
    <x v="291"/>
    <n v="2025"/>
    <n v="0.61"/>
    <n v="0.3"/>
    <n v="0.11"/>
    <n v="0.09"/>
    <n v="0.36349999999999999"/>
    <n v="0.28000000000000003"/>
    <n v="0.42"/>
    <n v="0"/>
    <n v="0.39"/>
    <n v="0"/>
    <n v="0.32"/>
    <n v="0.20907142857142857"/>
    <n v="0.15386153791503276"/>
    <n v="0.27201688207603936"/>
    <x v="1"/>
    <n v="0.64499999999999602"/>
    <n v="0.37"/>
    <n v="3.5670000000000002"/>
  </r>
  <r>
    <x v="292"/>
    <n v="2025"/>
    <n v="0.59"/>
    <n v="0.28000000000000003"/>
    <n v="0.09"/>
    <n v="7.0000000000000007E-2"/>
    <n v="0.33750000000000002"/>
    <n v="0.28000000000000003"/>
    <n v="0.4"/>
    <n v="0"/>
    <n v="0.37"/>
    <n v="0"/>
    <n v="0.3"/>
    <n v="0.19678571428571431"/>
    <n v="0.13885401919621274"/>
    <n v="0.3254483168515579"/>
    <x v="1"/>
    <n v="0.59499999999999709"/>
    <n v="0.37"/>
    <n v="3.4990000000000001"/>
  </r>
  <r>
    <x v="293"/>
    <n v="2025"/>
    <n v="0.57999999999999996"/>
    <n v="0.27"/>
    <n v="0.08"/>
    <n v="7.0000000000000007E-2"/>
    <n v="0.33100000000000002"/>
    <n v="0.26500000000000001"/>
    <n v="0.4"/>
    <n v="0"/>
    <n v="0.36"/>
    <n v="0"/>
    <n v="0.3"/>
    <n v="0.19085714285714286"/>
    <n v="0.13356230105026401"/>
    <n v="0.31706145254917112"/>
    <x v="1"/>
    <n v="0.57499999999999751"/>
    <n v="0.32500000000000001"/>
    <n v="3.5990000000000002"/>
  </r>
  <r>
    <x v="294"/>
    <n v="2025"/>
    <n v="0.56999999999999995"/>
    <n v="0.2"/>
    <n v="7.0000000000000007E-2"/>
    <n v="0.05"/>
    <n v="0.3115"/>
    <n v="0.27749999999999997"/>
    <n v="0.38"/>
    <n v="0"/>
    <n v="0.34"/>
    <n v="0.25"/>
    <n v="0.28000000000000003"/>
    <n v="0.21557142857142858"/>
    <n v="0.14081762124995451"/>
    <n v="0.32326531431567868"/>
    <x v="1"/>
    <n v="0.55499999999999794"/>
    <n v="0.32500000000000001"/>
    <n v="3.7789999999999999"/>
  </r>
  <r>
    <x v="295"/>
    <n v="2025"/>
    <n v="0.59"/>
    <n v="0.22"/>
    <n v="0.09"/>
    <n v="7.0000000000000007E-2"/>
    <n v="0.33750000000000002"/>
    <n v="0.315"/>
    <n v="0.4"/>
    <n v="0"/>
    <n v="0.37"/>
    <n v="0.28000000000000003"/>
    <n v="0.3"/>
    <n v="0.23892857142857143"/>
    <n v="0.16012615384348797"/>
    <n v="0.32018085426598897"/>
    <x v="1"/>
    <n v="0.5849999999999973"/>
    <n v="0.34"/>
    <n v="3.7440000000000002"/>
  </r>
  <r>
    <x v="296"/>
    <n v="2025"/>
    <n v="0.64"/>
    <n v="0.26"/>
    <n v="0.14000000000000001"/>
    <n v="0.11"/>
    <n v="0.38950000000000001"/>
    <n v="0.315"/>
    <n v="0.45"/>
    <n v="0.01"/>
    <n v="0.41"/>
    <n v="0.32"/>
    <n v="0.34"/>
    <n v="0.26921428571428574"/>
    <n v="0.19428898028567321"/>
    <n v="0.31296150829385394"/>
    <x v="1"/>
    <n v="0.59999999999999698"/>
    <n v="0.34499999999999997"/>
    <n v="3.7480000000000002"/>
  </r>
  <r>
    <x v="297"/>
    <n v="2025"/>
    <n v="0.63"/>
    <n v="0.25"/>
    <n v="0.13"/>
    <n v="0.1"/>
    <n v="0.3765"/>
    <n v="0.315"/>
    <n v="0.44"/>
    <n v="0"/>
    <n v="0.41"/>
    <n v="0.31"/>
    <n v="0.33"/>
    <n v="0.26307142857142857"/>
    <n v="0.18585248564789386"/>
    <n v="0.3102547600455689"/>
    <x v="1"/>
    <n v="0.57999999999999741"/>
    <n v="0.34"/>
    <n v="3.6789999999999998"/>
  </r>
  <r>
    <x v="298"/>
    <n v="2025"/>
    <n v="0.63"/>
    <n v="0.25"/>
    <n v="0.13"/>
    <n v="0.1"/>
    <n v="0.3765"/>
    <n v="0.30249999999999999"/>
    <n v="0.44"/>
    <n v="0"/>
    <n v="0.41"/>
    <n v="0.31"/>
    <n v="0.33"/>
    <n v="0.26128571428571429"/>
    <n v="0.18549049893171465"/>
    <n v="0.30966273146105266"/>
    <x v="1"/>
    <n v="0.59499999999999709"/>
    <n v="0.34"/>
    <n v="3.8220000000000001"/>
  </r>
  <r>
    <x v="299"/>
    <n v="2025"/>
    <n v="0.61"/>
    <n v="0.24"/>
    <n v="0.11"/>
    <n v="0.09"/>
    <n v="0.36349999999999999"/>
    <n v="0.32750000000000001"/>
    <n v="0.42"/>
    <n v="0"/>
    <n v="0.39"/>
    <n v="0.3"/>
    <n v="0.32"/>
    <n v="0.25585714285714289"/>
    <n v="0.17756955378075978"/>
    <n v="0.32254817851875489"/>
    <x v="1"/>
    <n v="0.5849999999999973"/>
    <n v="0.34"/>
    <n v="3.6150000000000002"/>
  </r>
  <r>
    <x v="300"/>
    <n v="2026"/>
    <n v="0.65"/>
    <n v="0.27"/>
    <n v="0.15"/>
    <n v="0.12"/>
    <n v="0.39600000000000002"/>
    <n v="0.29249999999999998"/>
    <n v="0.46"/>
    <n v="0.02"/>
    <n v="0.43"/>
    <n v="0.33"/>
    <n v="0.35"/>
    <n v="0.27407142857142858"/>
    <n v="0.22601721275782632"/>
    <n v="0.29341205679829535"/>
    <x v="1"/>
    <n v="0.60999999999999677"/>
    <n v="0.35"/>
    <n v="3.5230000000000001"/>
  </r>
  <r>
    <x v="301"/>
    <n v="2026"/>
    <n v="0.6"/>
    <n v="0.23"/>
    <n v="0.1"/>
    <n v="0.08"/>
    <n v="0.34399999999999997"/>
    <n v="0.26500000000000001"/>
    <n v="0.41"/>
    <n v="0"/>
    <n v="0.37"/>
    <n v="0.28000000000000003"/>
    <n v="0.31"/>
    <n v="0.2355714285714286"/>
    <n v="0.18716728560076723"/>
    <n v="0.24154957582669068"/>
    <x v="1"/>
    <n v="0.60999999999999677"/>
    <n v="0.35"/>
    <n v="3.722"/>
  </r>
  <r>
    <x v="302"/>
    <n v="2026"/>
    <n v="0.56999999999999995"/>
    <n v="0.21"/>
    <n v="7.0000000000000007E-2"/>
    <n v="0.06"/>
    <n v="0.318"/>
    <n v="0.30249999999999999"/>
    <n v="0.39"/>
    <n v="0"/>
    <n v="0.35"/>
    <n v="0.26"/>
    <n v="0.28999999999999998"/>
    <n v="0.22578571428571428"/>
    <n v="0.17280473101244256"/>
    <n v="0.23552698371981026"/>
    <x v="1"/>
    <n v="0.60499999999999687"/>
    <n v="0.35"/>
    <n v="4.9210000000000003"/>
  </r>
  <r>
    <x v="303"/>
    <n v="2026"/>
    <n v="0.62"/>
    <n v="0.25"/>
    <n v="0.12"/>
    <n v="0.1"/>
    <n v="0.37"/>
    <n v="0.53249999999999997"/>
    <n v="0.44"/>
    <n v="0"/>
    <n v="0.4"/>
    <n v="0.31"/>
    <n v="0.33"/>
    <n v="0.29178571428571426"/>
    <n v="0.22813265137228489"/>
    <n v="0.23685589891263967"/>
    <x v="1"/>
    <n v="0.59999999999999698"/>
    <n v="0.375"/>
    <n v="5.5010000000000003"/>
  </r>
  <r>
    <x v="304"/>
    <n v="2026"/>
    <n v="0.92"/>
    <n v="0.49"/>
    <n v="0.42"/>
    <n v="0.34"/>
    <n v="0.68200000000000005"/>
    <n v="0.68250000000000011"/>
    <n v="0.74"/>
    <n v="0.3"/>
    <n v="0.7"/>
    <n v="0.61"/>
    <n v="0.56999999999999995"/>
    <n v="0.51207142857142851"/>
    <n v="0.45820077594345088"/>
    <n v="0.21934111673781564"/>
    <x v="1"/>
    <n v="0.66499999999999559"/>
    <n v="0.375"/>
    <n v="5.6"/>
  </r>
  <r>
    <x v="305"/>
    <n v="2026"/>
    <n v="1.07"/>
    <n v="0.61"/>
    <n v="0.56999999999999995"/>
    <n v="0.46"/>
    <n v="0.83799999999999997"/>
    <n v="0.69"/>
    <n v="0.88"/>
    <n v="0.44"/>
    <n v="0.85"/>
    <n v="0.75"/>
    <n v="0.69"/>
    <n v="0.67400000000000004"/>
    <n v="0.59324595913314582"/>
    <n v="0.2068555259199861"/>
    <x v="1"/>
    <n v="0.66499999999999559"/>
    <n v="0.40500000000000003"/>
    <n v="5.024"/>
  </r>
  <r>
    <x v="306"/>
    <n v="2026"/>
    <n v="1.0900000000000001"/>
    <n v="0.63"/>
    <n v="0.59"/>
    <n v="0.48"/>
    <n v="0.86399999999999999"/>
    <n v="0.6"/>
    <n v="0.91"/>
    <n v="0.47"/>
    <n v="0.87"/>
    <n v="0.78"/>
    <n v="0.71"/>
    <n v="0.68200000000000005"/>
    <n v="0.60611246745960567"/>
    <n v="0.18729729436937878"/>
    <x v="1"/>
    <n v="0.63499999999999623"/>
    <n v="0.4050000000000000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54ED92-7A57-4A02-BC05-2B3DFD384B2B}" name="PivotTable3" cacheId="12"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fieldListSortAscending="1">
  <location ref="A18:J28" firstHeaderRow="1" firstDataRow="2" firstDataCol="1"/>
  <pivotFields count="3">
    <pivotField axis="axisRow" showAll="0">
      <items count="10">
        <item x="2"/>
        <item x="5"/>
        <item x="7"/>
        <item x="4"/>
        <item x="3"/>
        <item x="0"/>
        <item x="8"/>
        <item x="6"/>
        <item x="1"/>
        <item t="default"/>
      </items>
    </pivotField>
    <pivotField axis="axisCol" showAll="0">
      <items count="9">
        <item x="1"/>
        <item x="5"/>
        <item x="4"/>
        <item x="0"/>
        <item x="2"/>
        <item x="6"/>
        <item x="3"/>
        <item x="7"/>
        <item t="default"/>
      </items>
    </pivotField>
    <pivotField dataField="1" showAll="0"/>
  </pivotFields>
  <rowFields count="1">
    <field x="0"/>
  </rowFields>
  <rowItems count="9">
    <i>
      <x/>
    </i>
    <i>
      <x v="1"/>
    </i>
    <i>
      <x v="2"/>
    </i>
    <i>
      <x v="3"/>
    </i>
    <i>
      <x v="4"/>
    </i>
    <i>
      <x v="5"/>
    </i>
    <i>
      <x v="6"/>
    </i>
    <i>
      <x v="7"/>
    </i>
    <i>
      <x v="8"/>
    </i>
  </rowItems>
  <colFields count="1">
    <field x="1"/>
  </colFields>
  <colItems count="9">
    <i>
      <x/>
    </i>
    <i>
      <x v="1"/>
    </i>
    <i>
      <x v="2"/>
    </i>
    <i>
      <x v="3"/>
    </i>
    <i>
      <x v="4"/>
    </i>
    <i>
      <x v="5"/>
    </i>
    <i>
      <x v="6"/>
    </i>
    <i>
      <x v="7"/>
    </i>
    <i t="grand">
      <x/>
    </i>
  </colItems>
  <dataFields count="1">
    <dataField name="Sum of sum_carloads" fld="2" showDataAs="percentOfRow" baseField="0" baseItem="0" numFmtId="10"/>
  </dataFields>
  <formats count="20">
    <format dxfId="56">
      <pivotArea outline="0" collapsedLevelsAreSubtotals="1" fieldPosition="0"/>
    </format>
    <format dxfId="55">
      <pivotArea dataOnly="0" labelOnly="1" fieldPosition="0">
        <references count="1">
          <reference field="0" count="0"/>
        </references>
      </pivotArea>
    </format>
    <format dxfId="54">
      <pivotArea type="all" dataOnly="0" outline="0" fieldPosition="0"/>
    </format>
    <format dxfId="53">
      <pivotArea outline="0" collapsedLevelsAreSubtotals="1" fieldPosition="0"/>
    </format>
    <format dxfId="52">
      <pivotArea type="origin" dataOnly="0" labelOnly="1" outline="0" fieldPosition="0"/>
    </format>
    <format dxfId="51">
      <pivotArea field="1" type="button" dataOnly="0" labelOnly="1" outline="0" axis="axisCol" fieldPosition="0"/>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0"/>
        </references>
      </pivotArea>
    </format>
    <format dxfId="47">
      <pivotArea dataOnly="0" labelOnly="1" fieldPosition="0">
        <references count="1">
          <reference field="1" count="0"/>
        </references>
      </pivotArea>
    </format>
    <format dxfId="46">
      <pivotArea dataOnly="0" labelOnly="1" grandCol="1" outline="0" fieldPosition="0"/>
    </format>
    <format dxfId="45">
      <pivotArea type="all" dataOnly="0" outline="0" fieldPosition="0"/>
    </format>
    <format dxfId="44">
      <pivotArea outline="0" collapsedLevelsAreSubtotals="1" fieldPosition="0"/>
    </format>
    <format dxfId="43">
      <pivotArea type="origin" dataOnly="0" labelOnly="1" outline="0" fieldPosition="0"/>
    </format>
    <format dxfId="42">
      <pivotArea field="1" type="button" dataOnly="0" labelOnly="1" outline="0" axis="axisCol" fieldPosition="0"/>
    </format>
    <format dxfId="41">
      <pivotArea type="topRight" dataOnly="0" labelOnly="1" outline="0" fieldPosition="0"/>
    </format>
    <format dxfId="40">
      <pivotArea field="0" type="button" dataOnly="0" labelOnly="1" outline="0" axis="axisRow" fieldPosition="0"/>
    </format>
    <format dxfId="39">
      <pivotArea dataOnly="0" labelOnly="1" fieldPosition="0">
        <references count="1">
          <reference field="0" count="0"/>
        </references>
      </pivotArea>
    </format>
    <format dxfId="38">
      <pivotArea dataOnly="0" labelOnly="1" fieldPosition="0">
        <references count="1">
          <reference field="1" count="0"/>
        </references>
      </pivotArea>
    </format>
    <format dxfId="3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BCED1FE-97F4-4FE8-8C86-215849659A30}" name="PivotTable4" cacheId="13" applyNumberFormats="0" applyBorderFormats="0" applyFontFormats="0" applyPatternFormats="0" applyAlignmentFormats="0" applyWidthHeightFormats="1" dataCaption="Values" updatedVersion="8" minRefreshableVersion="3" useAutoFormatting="1" itemPrintTitles="1" createdVersion="5" indent="0" outline="1" outlineData="1" multipleFieldFilters="0" chartFormat="33">
  <location ref="S3:U29" firstHeaderRow="0" firstDataRow="1" firstDataCol="1" rowPageCount="1" colPageCount="1"/>
  <pivotFields count="20">
    <pivotField axis="axisRow" numFmtId="165" showAll="0" defaultSubtotal="0">
      <items count="499">
        <item m="1" x="308"/>
        <item m="1" x="324"/>
        <item m="1" x="340"/>
        <item m="1" x="356"/>
        <item m="1" x="372"/>
        <item m="1" x="388"/>
        <item m="1" x="404"/>
        <item m="1" x="420"/>
        <item m="1" x="436"/>
        <item m="1" x="452"/>
        <item m="1" x="468"/>
        <item m="1" x="484"/>
        <item m="1" x="309"/>
        <item m="1" x="325"/>
        <item m="1" x="341"/>
        <item m="1" x="357"/>
        <item m="1" x="373"/>
        <item m="1" x="389"/>
        <item m="1" x="405"/>
        <item m="1" x="421"/>
        <item m="1" x="437"/>
        <item m="1" x="453"/>
        <item m="1" x="469"/>
        <item m="1" x="485"/>
        <item m="1" x="310"/>
        <item m="1" x="326"/>
        <item m="1" x="342"/>
        <item m="1" x="358"/>
        <item m="1" x="374"/>
        <item m="1" x="390"/>
        <item m="1" x="406"/>
        <item m="1" x="422"/>
        <item m="1" x="438"/>
        <item m="1" x="454"/>
        <item m="1" x="470"/>
        <item m="1" x="486"/>
        <item m="1" x="311"/>
        <item m="1" x="327"/>
        <item m="1" x="343"/>
        <item m="1" x="359"/>
        <item m="1" x="375"/>
        <item m="1" x="391"/>
        <item m="1" x="407"/>
        <item m="1" x="423"/>
        <item m="1" x="439"/>
        <item m="1" x="455"/>
        <item m="1" x="471"/>
        <item m="1" x="487"/>
        <item m="1" x="312"/>
        <item m="1" x="328"/>
        <item m="1" x="344"/>
        <item m="1" x="360"/>
        <item m="1" x="376"/>
        <item m="1" x="392"/>
        <item m="1" x="408"/>
        <item m="1" x="424"/>
        <item m="1" x="440"/>
        <item m="1" x="456"/>
        <item m="1" x="472"/>
        <item m="1" x="488"/>
        <item m="1" x="313"/>
        <item m="1" x="329"/>
        <item m="1" x="345"/>
        <item m="1" x="361"/>
        <item m="1" x="377"/>
        <item m="1" x="393"/>
        <item m="1" x="409"/>
        <item m="1" x="425"/>
        <item m="1" x="441"/>
        <item m="1" x="457"/>
        <item m="1" x="473"/>
        <item m="1" x="489"/>
        <item m="1" x="314"/>
        <item m="1" x="330"/>
        <item m="1" x="346"/>
        <item m="1" x="362"/>
        <item m="1" x="378"/>
        <item m="1" x="394"/>
        <item m="1" x="410"/>
        <item m="1" x="426"/>
        <item m="1" x="442"/>
        <item m="1" x="458"/>
        <item m="1" x="474"/>
        <item m="1" x="490"/>
        <item m="1" x="315"/>
        <item m="1" x="331"/>
        <item m="1" x="347"/>
        <item m="1" x="363"/>
        <item m="1" x="379"/>
        <item m="1" x="395"/>
        <item m="1" x="411"/>
        <item m="1" x="427"/>
        <item m="1" x="443"/>
        <item m="1" x="459"/>
        <item m="1" x="475"/>
        <item m="1" x="491"/>
        <item m="1" x="316"/>
        <item m="1" x="332"/>
        <item m="1" x="348"/>
        <item m="1" x="364"/>
        <item m="1" x="380"/>
        <item m="1" x="396"/>
        <item m="1" x="412"/>
        <item m="1" x="428"/>
        <item m="1" x="444"/>
        <item m="1" x="460"/>
        <item m="1" x="476"/>
        <item m="1" x="492"/>
        <item m="1" x="317"/>
        <item m="1" x="333"/>
        <item m="1" x="349"/>
        <item m="1" x="365"/>
        <item m="1" x="381"/>
        <item m="1" x="397"/>
        <item m="1" x="413"/>
        <item m="1" x="429"/>
        <item m="1" x="445"/>
        <item m="1" x="461"/>
        <item m="1" x="477"/>
        <item m="1" x="493"/>
        <item m="1" x="318"/>
        <item m="1" x="334"/>
        <item m="1" x="350"/>
        <item m="1" x="366"/>
        <item m="1" x="382"/>
        <item m="1" x="398"/>
        <item m="1" x="414"/>
        <item m="1" x="430"/>
        <item m="1" x="446"/>
        <item m="1" x="462"/>
        <item m="1" x="478"/>
        <item m="1" x="494"/>
        <item m="1" x="319"/>
        <item m="1" x="335"/>
        <item m="1" x="351"/>
        <item m="1" x="367"/>
        <item m="1" x="383"/>
        <item m="1" x="399"/>
        <item m="1" x="415"/>
        <item m="1" x="431"/>
        <item m="1" x="447"/>
        <item m="1" x="463"/>
        <item m="1" x="479"/>
        <item m="1" x="495"/>
        <item m="1" x="320"/>
        <item m="1" x="336"/>
        <item m="1" x="352"/>
        <item m="1" x="368"/>
        <item m="1" x="384"/>
        <item m="1" x="400"/>
        <item m="1" x="416"/>
        <item m="1" x="432"/>
        <item m="1" x="448"/>
        <item m="1" x="464"/>
        <item m="1" x="480"/>
        <item m="1" x="496"/>
        <item m="1" x="321"/>
        <item m="1" x="337"/>
        <item m="1" x="353"/>
        <item m="1" x="369"/>
        <item m="1" x="385"/>
        <item m="1" x="401"/>
        <item m="1" x="417"/>
        <item m="1" x="433"/>
        <item m="1" x="449"/>
        <item m="1" x="465"/>
        <item m="1" x="481"/>
        <item m="1" x="497"/>
        <item m="1" x="322"/>
        <item m="1" x="338"/>
        <item m="1" x="354"/>
        <item m="1" x="370"/>
        <item m="1" x="386"/>
        <item m="1" x="402"/>
        <item m="1" x="418"/>
        <item m="1" x="434"/>
        <item m="1" x="450"/>
        <item m="1" x="466"/>
        <item m="1" x="482"/>
        <item m="1" x="498"/>
        <item m="1" x="323"/>
        <item m="1" x="339"/>
        <item m="1" x="355"/>
        <item m="1" x="371"/>
        <item m="1" x="387"/>
        <item m="1" x="403"/>
        <item m="1" x="419"/>
        <item m="1" x="435"/>
        <item m="1" x="451"/>
        <item m="1" x="467"/>
        <item m="1" x="4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m="1" x="307"/>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s>
    </pivotField>
    <pivotField showAll="0" defaultSubtotal="0"/>
    <pivotField showAll="0"/>
    <pivotField showAll="0"/>
    <pivotField showAll="0"/>
    <pivotField showAll="0"/>
    <pivotField showAll="0"/>
    <pivotField showAll="0"/>
    <pivotField showAll="0"/>
    <pivotField showAll="0"/>
    <pivotField showAll="0"/>
    <pivotField showAll="0"/>
    <pivotField showAll="0"/>
    <pivotField numFmtId="167" showAll="0" defaultSubtotal="0"/>
    <pivotField dataField="1" showAll="0" defaultSubtotal="0"/>
    <pivotField dataField="1" showAll="0" defaultSubtotal="0"/>
    <pivotField axis="axisPage" showAll="0" defaultSubtotal="0">
      <items count="2">
        <item x="0"/>
        <item x="1"/>
      </items>
    </pivotField>
    <pivotField showAll="0" defaultSubtotal="0"/>
    <pivotField showAll="0" defaultSubtotal="0"/>
    <pivotField showAll="0"/>
  </pivotFields>
  <rowFields count="1">
    <field x="0"/>
  </rowFields>
  <rowItems count="26">
    <i>
      <x v="474"/>
    </i>
    <i>
      <x v="475"/>
    </i>
    <i>
      <x v="476"/>
    </i>
    <i>
      <x v="477"/>
    </i>
    <i>
      <x v="478"/>
    </i>
    <i>
      <x v="479"/>
    </i>
    <i>
      <x v="480"/>
    </i>
    <i>
      <x v="481"/>
    </i>
    <i>
      <x v="482"/>
    </i>
    <i>
      <x v="483"/>
    </i>
    <i>
      <x v="484"/>
    </i>
    <i>
      <x v="485"/>
    </i>
    <i>
      <x v="486"/>
    </i>
    <i>
      <x v="487"/>
    </i>
    <i>
      <x v="488"/>
    </i>
    <i>
      <x v="489"/>
    </i>
    <i>
      <x v="490"/>
    </i>
    <i>
      <x v="491"/>
    </i>
    <i>
      <x v="492"/>
    </i>
    <i>
      <x v="493"/>
    </i>
    <i>
      <x v="494"/>
    </i>
    <i>
      <x v="495"/>
    </i>
    <i>
      <x v="496"/>
    </i>
    <i>
      <x v="497"/>
    </i>
    <i>
      <x v="498"/>
    </i>
    <i t="grand">
      <x/>
    </i>
  </rowItems>
  <colFields count="1">
    <field x="-2"/>
  </colFields>
  <colItems count="2">
    <i>
      <x/>
    </i>
    <i i="1">
      <x v="1"/>
    </i>
  </colItems>
  <pageFields count="1">
    <pageField fld="16" item="1" hier="-1"/>
  </pageFields>
  <dataFields count="2">
    <dataField name="Fuel surcharge ($/mile/railcar) " fld="14" baseField="0" baseItem="0"/>
    <dataField name="3-year monthly average " fld="15" baseField="0" baseItem="0"/>
  </dataFields>
  <chartFormats count="4">
    <chartFormat chart="0" format="2"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1"/>
          </reference>
        </references>
      </pivotArea>
    </chartFormat>
    <chartFormat chart="29" format="8" series="1">
      <pivotArea type="data" outline="0" fieldPosition="0">
        <references count="1">
          <reference field="4294967294" count="1" selected="0">
            <x v="1"/>
          </reference>
        </references>
      </pivotArea>
    </chartFormat>
    <chartFormat chart="29" format="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data" displayName="data" ref="A1:T308" headerRowDxfId="36" headerRowBorderDxfId="35">
  <autoFilter ref="A1:T308" xr:uid="{00000000-0009-0000-0100-000002000000}"/>
  <tableColumns count="20">
    <tableColumn id="1" xr3:uid="{00000000-0010-0000-0000-000001000000}" name="Date" totalsRowLabel="Total" dataDxfId="34"/>
    <tableColumn id="12" xr3:uid="{00000000-0010-0000-0000-00000C000000}" name="Year" dataDxfId="33">
      <calculatedColumnFormula>YEAR(data[[#This Row],[Date]])</calculatedColumnFormula>
    </tableColumn>
    <tableColumn id="18" xr3:uid="{A5945299-3F30-4266-865B-BE9852160CE5}" name="BNSF - 1.25 sp" dataDxfId="32"/>
    <tableColumn id="2" xr3:uid="{00000000-0010-0000-0000-000002000000}" name="BNSF - 2.50 sp" dataDxfId="31" totalsRowDxfId="30"/>
    <tableColumn id="17" xr3:uid="{FF293A55-E739-4B3E-AD83-2E46A82CEE3C}" name="BNSF - 3.25 sp (A)" dataDxfId="29" totalsRowDxfId="28"/>
    <tableColumn id="19" xr3:uid="{FF2DD9FC-1EFE-42E6-A11D-1A11242ED8A2}" name="BNSF - 3.25 sp (B)" dataDxfId="27" totalsRowDxfId="26"/>
    <tableColumn id="3" xr3:uid="{00000000-0010-0000-0000-000003000000}" name="CN" dataDxfId="25" totalsRowDxfId="24"/>
    <tableColumn id="4" xr3:uid="{00000000-0010-0000-0000-000004000000}" name="CP" dataDxfId="23" totalsRowDxfId="22" dataCellStyle="Normal"/>
    <tableColumn id="5" xr3:uid="{00000000-0010-0000-0000-000005000000}" name="CSXT - 8661" dataDxfId="21" totalsRowDxfId="20"/>
    <tableColumn id="20" xr3:uid="{B353DC03-6E56-494E-8133-F1C1B5C345DF}" name="CSXT - 8662" dataDxfId="19" totalsRowDxfId="18"/>
    <tableColumn id="6" xr3:uid="{00000000-0010-0000-0000-000006000000}" name="KCS" dataDxfId="17" totalsRowDxfId="16"/>
    <tableColumn id="7" xr3:uid="{00000000-0010-0000-0000-000007000000}" name="NS" dataDxfId="15" totalsRowDxfId="14"/>
    <tableColumn id="8" xr3:uid="{00000000-0010-0000-0000-000008000000}" name="UP" dataDxfId="13" totalsRowDxfId="12"/>
    <tableColumn id="9" xr3:uid="{00000000-0010-0000-0000-000009000000}" name="N_America" dataDxfId="11">
      <calculatedColumnFormula>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calculatedColumnFormula>
    </tableColumn>
    <tableColumn id="10" xr3:uid="{00000000-0010-0000-0000-00000A000000}" name="Weighted_Avg" dataDxfId="10" dataCellStyle="Normal">
      <calculatedColumnFormula>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calculatedColumnFormula>
    </tableColumn>
    <tableColumn id="11" xr3:uid="{00000000-0010-0000-0000-00000B000000}" name="3_Yr_Monthly_Avg" dataDxfId="9" totalsRowDxfId="8" dataCellStyle="Percent"/>
    <tableColumn id="13" xr3:uid="{00000000-0010-0000-0000-00000D000000}" name="Figure 3 Filter" dataDxfId="7" totalsRowDxfId="6" dataCellStyle="Percent">
      <calculatedColumnFormula>IF(data[[#This Row],[Date]]&gt;MAX(data[Date])-750, TRUE, FALSE)</calculatedColumnFormula>
    </tableColumn>
    <tableColumn id="14" xr3:uid="{00000000-0010-0000-0000-00000E000000}" name="KCSM" dataDxfId="5" totalsRowDxfId="4" dataCellStyle="Percent"/>
    <tableColumn id="15" xr3:uid="{00000000-0010-0000-0000-00000F000000}" name="FerroMex" dataDxfId="3" totalsRowDxfId="2" dataCellStyle="Percent"/>
    <tableColumn id="16" xr3:uid="{E274B901-13D9-4465-8388-56D47AB6D229}" name="EIA HDF Price" totalsRowFunction="sum"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8"/>
  <sheetViews>
    <sheetView workbookViewId="0">
      <selection activeCell="B29" sqref="B29"/>
    </sheetView>
  </sheetViews>
  <sheetFormatPr defaultRowHeight="12.75"/>
  <sheetData>
    <row r="1" spans="2:3">
      <c r="C1" s="15"/>
    </row>
    <row r="2" spans="2:3">
      <c r="B2" s="62" t="s">
        <v>56</v>
      </c>
      <c r="C2" s="17"/>
    </row>
    <row r="3" spans="2:3">
      <c r="B3" s="62" t="s">
        <v>57</v>
      </c>
      <c r="C3" s="15"/>
    </row>
    <row r="5" spans="2:3">
      <c r="B5" t="s">
        <v>5</v>
      </c>
    </row>
    <row r="6" spans="2:3">
      <c r="B6" s="62" t="s">
        <v>42</v>
      </c>
    </row>
    <row r="7" spans="2:3">
      <c r="B7" t="s">
        <v>46</v>
      </c>
    </row>
    <row r="8" spans="2:3">
      <c r="B8" t="s">
        <v>47</v>
      </c>
    </row>
    <row r="10" spans="2:3">
      <c r="B10" t="s">
        <v>16</v>
      </c>
    </row>
    <row r="11" spans="2:3">
      <c r="B11" t="s">
        <v>51</v>
      </c>
    </row>
    <row r="12" spans="2:3">
      <c r="B12" t="s">
        <v>52</v>
      </c>
    </row>
    <row r="13" spans="2:3">
      <c r="B13" t="s">
        <v>53</v>
      </c>
    </row>
    <row r="14" spans="2:3">
      <c r="B14" t="s">
        <v>54</v>
      </c>
    </row>
    <row r="16" spans="2:3">
      <c r="B16" t="s">
        <v>10</v>
      </c>
    </row>
    <row r="17" spans="2:2">
      <c r="B17" t="s">
        <v>48</v>
      </c>
    </row>
    <row r="19" spans="2:2">
      <c r="B19" t="s">
        <v>45</v>
      </c>
    </row>
    <row r="20" spans="2:2">
      <c r="B20" s="49" t="s">
        <v>0</v>
      </c>
    </row>
    <row r="21" spans="2:2">
      <c r="B21" t="s">
        <v>1</v>
      </c>
    </row>
    <row r="23" spans="2:2">
      <c r="B23" t="s">
        <v>6</v>
      </c>
    </row>
    <row r="24" spans="2:2">
      <c r="B24" t="s">
        <v>2</v>
      </c>
    </row>
    <row r="26" spans="2:2">
      <c r="B26" t="s">
        <v>55</v>
      </c>
    </row>
    <row r="27" spans="2:2">
      <c r="B27" t="s">
        <v>58</v>
      </c>
    </row>
    <row r="28" spans="2:2">
      <c r="B28"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29"/>
  <sheetViews>
    <sheetView workbookViewId="0">
      <selection activeCell="B30" sqref="B30"/>
    </sheetView>
  </sheetViews>
  <sheetFormatPr defaultColWidth="16.7109375" defaultRowHeight="12.75"/>
  <cols>
    <col min="1" max="1" width="20.7109375" bestFit="1" customWidth="1"/>
    <col min="2" max="2" width="19.28515625" bestFit="1" customWidth="1"/>
    <col min="3" max="4" width="7.28515625" bestFit="1" customWidth="1"/>
    <col min="5" max="6" width="6.28515625" bestFit="1" customWidth="1"/>
    <col min="7" max="8" width="7.28515625" bestFit="1" customWidth="1"/>
    <col min="9" max="9" width="8.28515625" bestFit="1" customWidth="1"/>
    <col min="10" max="10" width="11.7109375" bestFit="1" customWidth="1"/>
  </cols>
  <sheetData>
    <row r="1" spans="1:9">
      <c r="A1" s="1" t="s">
        <v>3</v>
      </c>
    </row>
    <row r="2" spans="1:9">
      <c r="A2" s="61" t="s">
        <v>4</v>
      </c>
      <c r="B2" s="55" t="s">
        <v>5</v>
      </c>
      <c r="C2" s="55" t="s">
        <v>6</v>
      </c>
      <c r="D2" s="55" t="s">
        <v>7</v>
      </c>
      <c r="E2" s="55" t="s">
        <v>8</v>
      </c>
      <c r="F2" s="55" t="s">
        <v>9</v>
      </c>
      <c r="G2" s="55" t="s">
        <v>10</v>
      </c>
      <c r="H2" s="55" t="s">
        <v>11</v>
      </c>
      <c r="I2" s="55" t="s">
        <v>12</v>
      </c>
    </row>
    <row r="3" spans="1:9">
      <c r="A3" s="56">
        <v>2002</v>
      </c>
      <c r="B3" s="57">
        <v>0.27289999999999998</v>
      </c>
      <c r="C3" s="57">
        <v>0.1308</v>
      </c>
      <c r="D3" s="57">
        <v>0.13350000000000001</v>
      </c>
      <c r="E3" s="57">
        <v>9.7299999999999998E-2</v>
      </c>
      <c r="F3" s="57">
        <v>1.8499999999999999E-2</v>
      </c>
      <c r="G3" s="57">
        <v>0.1123</v>
      </c>
      <c r="H3" s="57">
        <v>0.23469999999999999</v>
      </c>
      <c r="I3" s="57">
        <f t="shared" ref="I3:I8" si="0">SUM(B3:H3)</f>
        <v>0.99999999999999978</v>
      </c>
    </row>
    <row r="4" spans="1:9">
      <c r="A4" s="56">
        <v>2003</v>
      </c>
      <c r="B4" s="57">
        <v>0.27939999999999998</v>
      </c>
      <c r="C4" s="57">
        <v>0.1328</v>
      </c>
      <c r="D4" s="57">
        <v>0.13289999999999999</v>
      </c>
      <c r="E4" s="57">
        <v>9.8199999999999996E-2</v>
      </c>
      <c r="F4" s="57">
        <v>1.6400000000000001E-2</v>
      </c>
      <c r="G4" s="57">
        <v>0.1149</v>
      </c>
      <c r="H4" s="57">
        <v>0.22539999999999999</v>
      </c>
      <c r="I4" s="57">
        <f t="shared" si="0"/>
        <v>1</v>
      </c>
    </row>
    <row r="5" spans="1:9">
      <c r="A5" s="56">
        <v>2004</v>
      </c>
      <c r="B5" s="57">
        <v>0.29139999999999999</v>
      </c>
      <c r="C5" s="57">
        <v>0.15110000000000001</v>
      </c>
      <c r="D5" s="57">
        <v>0.13350000000000001</v>
      </c>
      <c r="E5" s="57">
        <v>9.0399999999999994E-2</v>
      </c>
      <c r="F5" s="57">
        <v>1.7600000000000001E-2</v>
      </c>
      <c r="G5" s="57">
        <v>0.10780000000000001</v>
      </c>
      <c r="H5" s="57">
        <v>0.2082</v>
      </c>
      <c r="I5" s="57">
        <f t="shared" si="0"/>
        <v>1</v>
      </c>
    </row>
    <row r="6" spans="1:9">
      <c r="A6" s="56">
        <v>2005</v>
      </c>
      <c r="B6" s="57">
        <v>0.30299999999999999</v>
      </c>
      <c r="C6" s="57">
        <v>0.14369999999999999</v>
      </c>
      <c r="D6" s="57">
        <v>0.13689999999999999</v>
      </c>
      <c r="E6" s="57">
        <v>9.6799999999999997E-2</v>
      </c>
      <c r="F6" s="57">
        <v>1.7500000000000002E-2</v>
      </c>
      <c r="G6" s="57">
        <v>0.1066</v>
      </c>
      <c r="H6" s="57">
        <v>0.19550000000000001</v>
      </c>
      <c r="I6" s="57">
        <f t="shared" si="0"/>
        <v>1</v>
      </c>
    </row>
    <row r="7" spans="1:9">
      <c r="A7" s="56">
        <v>2006</v>
      </c>
      <c r="B7" s="57">
        <v>0.30742999999999998</v>
      </c>
      <c r="C7" s="57">
        <v>0.15454000000000001</v>
      </c>
      <c r="D7" s="57">
        <v>0.14249999999999999</v>
      </c>
      <c r="E7" s="57">
        <v>9.7909999999999997E-2</v>
      </c>
      <c r="F7" s="57">
        <v>1.7090000000000001E-2</v>
      </c>
      <c r="G7" s="57">
        <v>0.10076</v>
      </c>
      <c r="H7" s="57">
        <v>0.17977000000000001</v>
      </c>
      <c r="I7" s="57">
        <f t="shared" si="0"/>
        <v>1</v>
      </c>
    </row>
    <row r="8" spans="1:9">
      <c r="A8" s="56">
        <v>2007</v>
      </c>
      <c r="B8" s="57">
        <v>0.32129999999999997</v>
      </c>
      <c r="C8" s="57">
        <v>0.15029999999999999</v>
      </c>
      <c r="D8" s="57">
        <v>0.14399999999999999</v>
      </c>
      <c r="E8" s="57">
        <v>8.8599999999999998E-2</v>
      </c>
      <c r="F8" s="57">
        <v>2.0400000000000001E-2</v>
      </c>
      <c r="G8" s="57">
        <v>9.9900000000000003E-2</v>
      </c>
      <c r="H8" s="57">
        <v>0.17549999999999999</v>
      </c>
      <c r="I8" s="57">
        <f t="shared" si="0"/>
        <v>0.99999999999999989</v>
      </c>
    </row>
    <row r="9" spans="1:9">
      <c r="A9" s="56">
        <v>2008</v>
      </c>
      <c r="B9" s="57">
        <v>0.32969658838779731</v>
      </c>
      <c r="C9" s="57">
        <v>0.12971625683075821</v>
      </c>
      <c r="D9" s="57">
        <v>0.16106556952794587</v>
      </c>
      <c r="E9" s="57">
        <v>7.8293055199312636E-2</v>
      </c>
      <c r="F9" s="57">
        <v>2.179861584770414E-2</v>
      </c>
      <c r="G9" s="57">
        <v>9.3612586883333931E-2</v>
      </c>
      <c r="H9" s="57">
        <v>0.18581732732314793</v>
      </c>
      <c r="I9" s="57">
        <v>1</v>
      </c>
    </row>
    <row r="10" spans="1:9">
      <c r="A10" s="56">
        <v>2009</v>
      </c>
      <c r="B10" s="57">
        <v>0.31792188326863596</v>
      </c>
      <c r="C10" s="57">
        <v>0.13110897096671345</v>
      </c>
      <c r="D10" s="57">
        <v>0.18664199291999328</v>
      </c>
      <c r="E10" s="57">
        <v>6.9203285596426467E-2</v>
      </c>
      <c r="F10" s="57">
        <v>2.4265293176043676E-2</v>
      </c>
      <c r="G10" s="57">
        <v>9.3485670710663063E-2</v>
      </c>
      <c r="H10" s="57">
        <v>0.17737290336152409</v>
      </c>
      <c r="I10" s="57">
        <v>1</v>
      </c>
    </row>
    <row r="11" spans="1:9">
      <c r="A11" s="56">
        <v>2010</v>
      </c>
      <c r="B11" s="57">
        <v>0.33487596018724608</v>
      </c>
      <c r="C11" s="57">
        <v>0.12369997765048418</v>
      </c>
      <c r="D11" s="57">
        <v>0.17127444286943291</v>
      </c>
      <c r="E11" s="57">
        <v>6.8683429824051137E-2</v>
      </c>
      <c r="F11" s="57">
        <v>2.1925181168849062E-2</v>
      </c>
      <c r="G11" s="57">
        <v>9.8686889406635669E-2</v>
      </c>
      <c r="H11" s="57">
        <v>0.18085411889330097</v>
      </c>
      <c r="I11" s="57">
        <v>1</v>
      </c>
    </row>
    <row r="12" spans="1:9">
      <c r="A12" s="56">
        <v>2011</v>
      </c>
      <c r="B12" s="57">
        <v>0.34294596037303354</v>
      </c>
      <c r="C12" s="57">
        <v>0.12515213363896127</v>
      </c>
      <c r="D12" s="57">
        <v>0.16918328256978679</v>
      </c>
      <c r="E12" s="57">
        <v>6.1862027820516849E-2</v>
      </c>
      <c r="F12" s="57">
        <v>2.235438188840393E-2</v>
      </c>
      <c r="G12" s="57">
        <v>9.4873614469180773E-2</v>
      </c>
      <c r="H12" s="57">
        <v>0.18362859924011682</v>
      </c>
      <c r="I12" s="57">
        <v>1</v>
      </c>
    </row>
    <row r="13" spans="1:9">
      <c r="A13" s="56">
        <v>2012</v>
      </c>
      <c r="B13" s="57">
        <v>0.34705919965538939</v>
      </c>
      <c r="C13" s="57">
        <v>0.13655598070988434</v>
      </c>
      <c r="D13" s="57">
        <v>0.17866443208243732</v>
      </c>
      <c r="E13" s="57">
        <v>5.7469198746748246E-2</v>
      </c>
      <c r="F13" s="57">
        <v>1.8129747229485741E-2</v>
      </c>
      <c r="G13" s="57">
        <v>9.7841135868778753E-2</v>
      </c>
      <c r="H13" s="57">
        <v>0.1642803057072762</v>
      </c>
      <c r="I13" s="57">
        <v>1</v>
      </c>
    </row>
    <row r="14" spans="1:9">
      <c r="A14" s="56">
        <v>2013</v>
      </c>
      <c r="B14" s="57">
        <v>0.32501586579292119</v>
      </c>
      <c r="C14" s="57">
        <v>0.1351250410507269</v>
      </c>
      <c r="D14" s="57">
        <v>0.195149610670971</v>
      </c>
      <c r="E14" s="57">
        <v>6.1864786954776589E-2</v>
      </c>
      <c r="F14" s="57">
        <v>2.5181356566434922E-2</v>
      </c>
      <c r="G14" s="57">
        <v>9.8641945364433867E-2</v>
      </c>
      <c r="H14" s="57">
        <v>0.15902139359973555</v>
      </c>
      <c r="I14" s="57">
        <v>1</v>
      </c>
    </row>
    <row r="15" spans="1:9">
      <c r="A15" s="56">
        <v>2014</v>
      </c>
      <c r="B15" s="57">
        <v>0.30108412026863668</v>
      </c>
      <c r="C15" s="57">
        <v>0.15055672643235124</v>
      </c>
      <c r="D15" s="57">
        <v>0.17215737499477318</v>
      </c>
      <c r="E15" s="57">
        <v>6.4488648597371426E-2</v>
      </c>
      <c r="F15" s="57">
        <v>2.9650885938015854E-2</v>
      </c>
      <c r="G15" s="57">
        <v>9.6100449787276263E-2</v>
      </c>
      <c r="H15" s="57">
        <v>0.18596179398157539</v>
      </c>
      <c r="I15" s="57">
        <v>1</v>
      </c>
    </row>
    <row r="16" spans="1:9">
      <c r="A16" s="56">
        <v>2015</v>
      </c>
      <c r="B16" s="57">
        <v>0.3460084731817023</v>
      </c>
      <c r="C16" s="57">
        <v>0.13609943243234524</v>
      </c>
      <c r="D16" s="57">
        <v>0.15246758023870755</v>
      </c>
      <c r="E16" s="57">
        <v>6.7139478379834736E-2</v>
      </c>
      <c r="F16" s="57">
        <v>2.9327017704626049E-2</v>
      </c>
      <c r="G16" s="57">
        <v>9.6190294883501823E-2</v>
      </c>
      <c r="H16" s="57">
        <v>0.17276772317928232</v>
      </c>
      <c r="I16" s="57">
        <v>1</v>
      </c>
    </row>
    <row r="17" spans="1:10">
      <c r="A17" s="56">
        <v>2016</v>
      </c>
      <c r="B17" s="57">
        <v>0.36662308156784723</v>
      </c>
      <c r="C17" s="57">
        <v>0.12010001197711069</v>
      </c>
      <c r="D17" s="57">
        <v>0.14576329878174787</v>
      </c>
      <c r="E17" s="57">
        <v>5.906577295493938E-2</v>
      </c>
      <c r="F17" s="57">
        <v>2.8078567363800704E-2</v>
      </c>
      <c r="G17" s="57">
        <v>9.3677761111873037E-2</v>
      </c>
      <c r="H17" s="57">
        <v>0.18669150624268108</v>
      </c>
      <c r="I17" s="57">
        <v>1</v>
      </c>
    </row>
    <row r="18" spans="1:10" hidden="1">
      <c r="A18" s="58" t="s">
        <v>13</v>
      </c>
      <c r="B18" s="58" t="s">
        <v>14</v>
      </c>
      <c r="C18" s="59"/>
      <c r="D18" s="59"/>
      <c r="E18" s="59"/>
      <c r="F18" s="59"/>
      <c r="G18" s="59"/>
      <c r="H18" s="59"/>
      <c r="I18" s="59"/>
      <c r="J18" s="59"/>
    </row>
    <row r="19" spans="1:10" hidden="1">
      <c r="A19" s="58" t="s">
        <v>15</v>
      </c>
      <c r="B19" s="59" t="s">
        <v>5</v>
      </c>
      <c r="C19" s="59" t="s">
        <v>6</v>
      </c>
      <c r="D19" s="59" t="s">
        <v>7</v>
      </c>
      <c r="E19" s="59" t="s">
        <v>16</v>
      </c>
      <c r="F19" s="59" t="s">
        <v>9</v>
      </c>
      <c r="G19" s="59" t="s">
        <v>10</v>
      </c>
      <c r="H19" s="59" t="s">
        <v>11</v>
      </c>
      <c r="I19" s="59" t="s">
        <v>45</v>
      </c>
      <c r="J19" s="59" t="s">
        <v>17</v>
      </c>
    </row>
    <row r="20" spans="1:10">
      <c r="A20" s="59">
        <v>2017</v>
      </c>
      <c r="B20" s="60">
        <v>0.45382719830706686</v>
      </c>
      <c r="C20" s="60">
        <v>4.2314377998233878E-2</v>
      </c>
      <c r="D20" s="60">
        <v>8.2575239262046629E-2</v>
      </c>
      <c r="E20" s="60">
        <v>6.7413026356613809E-2</v>
      </c>
      <c r="F20" s="60">
        <v>2.1845838073493027E-2</v>
      </c>
      <c r="G20" s="60">
        <v>0.11135629559503257</v>
      </c>
      <c r="H20" s="60">
        <v>0.22066802440751318</v>
      </c>
      <c r="I20" s="60">
        <v>0</v>
      </c>
      <c r="J20" s="60">
        <v>1</v>
      </c>
    </row>
    <row r="21" spans="1:10">
      <c r="A21" s="59">
        <v>2018</v>
      </c>
      <c r="B21" s="60">
        <v>0.48060111252708521</v>
      </c>
      <c r="C21" s="60">
        <v>4.2754015042939311E-2</v>
      </c>
      <c r="D21" s="60">
        <v>7.5648816569166139E-2</v>
      </c>
      <c r="E21" s="60">
        <v>7.4857719811074599E-2</v>
      </c>
      <c r="F21" s="60">
        <v>2.3028024942993386E-2</v>
      </c>
      <c r="G21" s="60">
        <v>0.10063718835439017</v>
      </c>
      <c r="H21" s="60">
        <v>0.20247312275235116</v>
      </c>
      <c r="I21" s="60">
        <v>0</v>
      </c>
      <c r="J21" s="60">
        <v>1</v>
      </c>
    </row>
    <row r="22" spans="1:10">
      <c r="A22" s="59">
        <v>2019</v>
      </c>
      <c r="B22" s="60">
        <v>0.45738094088487602</v>
      </c>
      <c r="C22" s="60">
        <v>4.8425957220800543E-2</v>
      </c>
      <c r="D22" s="60">
        <v>7.0563951523345089E-2</v>
      </c>
      <c r="E22" s="60">
        <v>7.3765953680009017E-2</v>
      </c>
      <c r="F22" s="60">
        <v>3.0017864902708705E-2</v>
      </c>
      <c r="G22" s="60">
        <v>0.11040027038771667</v>
      </c>
      <c r="H22" s="60">
        <v>0.209445061400544</v>
      </c>
      <c r="I22" s="60">
        <v>0</v>
      </c>
      <c r="J22" s="60">
        <v>1</v>
      </c>
    </row>
    <row r="23" spans="1:10">
      <c r="A23" s="59">
        <v>2020</v>
      </c>
      <c r="B23" s="60">
        <v>0.46450137049970064</v>
      </c>
      <c r="C23" s="60">
        <v>4.8308505879031162E-2</v>
      </c>
      <c r="D23" s="60">
        <v>6.9289527807783344E-2</v>
      </c>
      <c r="E23" s="60">
        <v>6.938339246554448E-2</v>
      </c>
      <c r="F23" s="60">
        <v>2.4812819489936421E-2</v>
      </c>
      <c r="G23" s="60">
        <v>9.9109724000057534E-2</v>
      </c>
      <c r="H23" s="60">
        <v>0.22459465985794644</v>
      </c>
      <c r="I23" s="60">
        <v>0</v>
      </c>
      <c r="J23" s="60">
        <v>1</v>
      </c>
    </row>
    <row r="24" spans="1:10">
      <c r="A24" s="59">
        <v>2021</v>
      </c>
      <c r="B24" s="60">
        <v>0.45273318293942155</v>
      </c>
      <c r="C24" s="60">
        <v>4.9399129556263729E-2</v>
      </c>
      <c r="D24" s="60">
        <v>7.5131631788789344E-2</v>
      </c>
      <c r="E24" s="60">
        <v>6.972977346638666E-2</v>
      </c>
      <c r="F24" s="60">
        <v>2.7196356102496495E-2</v>
      </c>
      <c r="G24" s="60">
        <v>8.9750870183924483E-2</v>
      </c>
      <c r="H24" s="60">
        <v>0.23605905596271776</v>
      </c>
      <c r="I24" s="60">
        <v>0</v>
      </c>
      <c r="J24" s="60">
        <v>1</v>
      </c>
    </row>
    <row r="25" spans="1:10">
      <c r="A25" s="59">
        <v>2022</v>
      </c>
      <c r="B25" s="60">
        <v>0.43409832970590007</v>
      </c>
      <c r="C25" s="60">
        <v>6.3629671414683758E-2</v>
      </c>
      <c r="D25" s="60">
        <v>7.5723907031130452E-2</v>
      </c>
      <c r="E25" s="60">
        <v>7.1036029966481451E-2</v>
      </c>
      <c r="F25" s="60">
        <v>3.0318947686550177E-2</v>
      </c>
      <c r="G25" s="60">
        <v>9.9138931836988547E-2</v>
      </c>
      <c r="H25" s="60">
        <v>0.22605418235826555</v>
      </c>
      <c r="I25" s="60">
        <v>0</v>
      </c>
      <c r="J25" s="60">
        <v>1</v>
      </c>
    </row>
    <row r="26" spans="1:10">
      <c r="A26" s="59">
        <v>2023</v>
      </c>
      <c r="B26" s="60">
        <v>0.4167407721680102</v>
      </c>
      <c r="C26" s="60">
        <v>5.5302503182011034E-2</v>
      </c>
      <c r="D26" s="60">
        <v>7.220280016970726E-2</v>
      </c>
      <c r="E26" s="60">
        <v>7.7345778532032242E-2</v>
      </c>
      <c r="F26" s="60">
        <v>3.7543487484089942E-2</v>
      </c>
      <c r="G26" s="60">
        <v>0.10864403903266864</v>
      </c>
      <c r="H26" s="60">
        <v>0.2322206194314807</v>
      </c>
      <c r="I26" s="60">
        <v>0</v>
      </c>
      <c r="J26" s="60">
        <v>1</v>
      </c>
    </row>
    <row r="27" spans="1:10">
      <c r="A27" s="59">
        <v>2024</v>
      </c>
      <c r="B27" s="60">
        <v>0.43927562665700204</v>
      </c>
      <c r="C27" s="60">
        <v>4.6100209968997073E-2</v>
      </c>
      <c r="D27" s="60">
        <v>7.6929804173380023E-2</v>
      </c>
      <c r="E27" s="60">
        <v>6.9262981244607974E-2</v>
      </c>
      <c r="F27" s="60">
        <v>3.5250367347260357E-2</v>
      </c>
      <c r="G27" s="60">
        <v>0.11294441139741655</v>
      </c>
      <c r="H27" s="60">
        <v>0.22023659921133595</v>
      </c>
      <c r="I27" s="60">
        <v>0</v>
      </c>
      <c r="J27" s="60">
        <v>1</v>
      </c>
    </row>
    <row r="28" spans="1:10">
      <c r="A28" s="59">
        <v>2025</v>
      </c>
      <c r="B28" s="60">
        <v>0.43879755949214427</v>
      </c>
      <c r="C28" s="60">
        <v>5.6176387514664014E-2</v>
      </c>
      <c r="D28" s="60">
        <v>2.8958937294335574E-2</v>
      </c>
      <c r="E28" s="60">
        <v>6.0545700606314756E-2</v>
      </c>
      <c r="F28" s="60">
        <v>1.0421197276695437E-2</v>
      </c>
      <c r="G28" s="60">
        <v>0.10369472511362987</v>
      </c>
      <c r="H28" s="60">
        <v>0.22812787540309795</v>
      </c>
      <c r="I28" s="60">
        <v>7.3277617299118164E-2</v>
      </c>
      <c r="J28" s="60">
        <v>1</v>
      </c>
    </row>
    <row r="29" spans="1:10">
      <c r="B29" s="60"/>
      <c r="C29" s="6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F329"/>
  <sheetViews>
    <sheetView workbookViewId="0">
      <pane xSplit="1" ySplit="1" topLeftCell="B302" activePane="bottomRight" state="frozen"/>
      <selection pane="topRight" activeCell="B1" sqref="B1"/>
      <selection pane="bottomLeft" activeCell="A7" sqref="A7"/>
      <selection pane="bottomRight" activeCell="T306" sqref="T306"/>
    </sheetView>
  </sheetViews>
  <sheetFormatPr defaultColWidth="11.5703125" defaultRowHeight="12.75"/>
  <cols>
    <col min="1" max="1" width="13.42578125" style="4" customWidth="1"/>
    <col min="2" max="2" width="13.42578125" customWidth="1"/>
    <col min="3" max="3" width="13.42578125" style="6" customWidth="1"/>
    <col min="4" max="4" width="11.5703125" style="6"/>
    <col min="5" max="6" width="19.28515625" style="6" bestFit="1" customWidth="1"/>
    <col min="7" max="8" width="11.5703125" style="15"/>
    <col min="14" max="14" width="11.5703125" style="15"/>
    <col min="15" max="15" width="11.7109375" style="15" customWidth="1"/>
    <col min="16" max="17" width="11.7109375" customWidth="1"/>
    <col min="20" max="20" width="16" bestFit="1" customWidth="1"/>
    <col min="22" max="22" width="15.140625" bestFit="1" customWidth="1"/>
    <col min="24" max="24" width="14.140625" customWidth="1"/>
    <col min="25" max="25" width="13.7109375" bestFit="1" customWidth="1"/>
  </cols>
  <sheetData>
    <row r="1" spans="1:20" ht="13.5" thickBot="1">
      <c r="A1" s="21" t="s">
        <v>18</v>
      </c>
      <c r="B1" s="2" t="s">
        <v>4</v>
      </c>
      <c r="C1" s="51" t="s">
        <v>19</v>
      </c>
      <c r="D1" s="51" t="s">
        <v>20</v>
      </c>
      <c r="E1" s="51" t="s">
        <v>43</v>
      </c>
      <c r="F1" s="51" t="s">
        <v>44</v>
      </c>
      <c r="G1" s="18" t="s">
        <v>6</v>
      </c>
      <c r="H1" s="15" t="s">
        <v>7</v>
      </c>
      <c r="I1" s="2" t="s">
        <v>49</v>
      </c>
      <c r="J1" s="2" t="s">
        <v>50</v>
      </c>
      <c r="K1" s="2" t="s">
        <v>9</v>
      </c>
      <c r="L1" s="2" t="s">
        <v>10</v>
      </c>
      <c r="M1" s="2" t="s">
        <v>11</v>
      </c>
      <c r="N1" s="16" t="s">
        <v>21</v>
      </c>
      <c r="O1" s="41" t="s">
        <v>22</v>
      </c>
      <c r="P1" s="1" t="s">
        <v>23</v>
      </c>
      <c r="Q1" s="2" t="s">
        <v>24</v>
      </c>
      <c r="R1" s="2" t="s">
        <v>25</v>
      </c>
      <c r="S1" s="2" t="s">
        <v>26</v>
      </c>
      <c r="T1" s="2" t="s">
        <v>27</v>
      </c>
    </row>
    <row r="2" spans="1:20">
      <c r="A2" s="4">
        <v>36906</v>
      </c>
      <c r="B2">
        <f>YEAR(data[[#This Row],[Date]])</f>
        <v>2001</v>
      </c>
      <c r="D2" s="8"/>
      <c r="E2" s="8"/>
      <c r="F2" s="7"/>
      <c r="G2" s="9">
        <v>7.9299999999999995E-2</v>
      </c>
      <c r="H2" s="15">
        <v>0</v>
      </c>
      <c r="I2" s="8"/>
      <c r="J2" s="8"/>
      <c r="K2" s="8">
        <v>0</v>
      </c>
      <c r="L2" s="8">
        <v>0</v>
      </c>
      <c r="M2" s="8">
        <v>0</v>
      </c>
      <c r="N2" s="15" t="str">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
      </c>
      <c r="O2"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2" s="14" t="str">
        <f>IF(data[[#This Row],[Weighted_Avg]]&lt;&gt;"", IFERROR(AVERAGE(#REF!,#REF!,#REF!), ""), "")</f>
        <v/>
      </c>
      <c r="Q2" s="4" t="b">
        <f>IF(data[[#This Row],[Date]]&gt;MAX(data[Date])-750, TRUE, FALSE)</f>
        <v>0</v>
      </c>
      <c r="T2">
        <v>1.524</v>
      </c>
    </row>
    <row r="3" spans="1:20">
      <c r="A3" s="4">
        <v>36937</v>
      </c>
      <c r="B3">
        <f>YEAR(data[[#This Row],[Date]])</f>
        <v>2001</v>
      </c>
      <c r="D3" s="7"/>
      <c r="E3" s="8"/>
      <c r="F3" s="7"/>
      <c r="G3" s="9">
        <v>6.7100000000000007E-2</v>
      </c>
      <c r="H3" s="15">
        <v>0</v>
      </c>
      <c r="I3" s="8"/>
      <c r="J3" s="8"/>
      <c r="K3" s="8">
        <v>0</v>
      </c>
      <c r="L3" s="8">
        <v>0</v>
      </c>
      <c r="M3" s="8">
        <v>0</v>
      </c>
      <c r="N3" s="15" t="str">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
      </c>
      <c r="O3"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3" s="14" t="str">
        <f>IF(data[[#This Row],[Weighted_Avg]]&lt;&gt;"", IFERROR(AVERAGE(#REF!,#REF!,#REF!), ""), "")</f>
        <v/>
      </c>
      <c r="Q3" s="4" t="b">
        <f>IF(data[[#This Row],[Date]]&gt;MAX(data[Date])-750, TRUE, FALSE)</f>
        <v>0</v>
      </c>
      <c r="T3">
        <v>1.492</v>
      </c>
    </row>
    <row r="4" spans="1:20">
      <c r="A4" s="4">
        <v>36965</v>
      </c>
      <c r="B4">
        <f>YEAR(data[[#This Row],[Date]])</f>
        <v>2001</v>
      </c>
      <c r="C4" s="6">
        <f t="shared" ref="C4:C69" si="0">IF(T2&gt;1.25, ROUNDDOWN((T2-1.25)/0.04, 0)+1, 0)/100</f>
        <v>7.0000000000000007E-2</v>
      </c>
      <c r="D4" s="7">
        <f t="shared" ref="D4:D66" si="1">IF(T2&gt;2.5,ROUNDDOWN((T2-2.5)/0.04,0)+1,ROUNDUP((T2-2.5)/0.04,0)+1)/100</f>
        <v>-0.24</v>
      </c>
      <c r="E4" s="7">
        <f t="shared" ref="E4:E67" si="2">IF(T2&gt;3.25, ROUNDDOWN((T2-3.25)/0.04, 0)+1, 0)/100</f>
        <v>0</v>
      </c>
      <c r="F4" s="7">
        <f t="shared" ref="F4:F11" si="3">IF(T2&gt;3.25, ROUNDDOWN((T2-3.25)/0.05, 0)+1, 0)/100</f>
        <v>0</v>
      </c>
      <c r="G4" s="9">
        <v>6.0999999999999999E-2</v>
      </c>
      <c r="H4" s="15">
        <v>0</v>
      </c>
      <c r="I4" s="7">
        <f t="shared" ref="I4:I67" si="4">IF(T2&gt;2, ROUNDDOWN((T2-2)/0.04, 0)+1, 0)/100</f>
        <v>0</v>
      </c>
      <c r="J4" s="7">
        <f t="shared" ref="J4:J67" si="5">IF(T2&gt;=3.75, ROUNDDOWN((T2-3.75)/0.04, 0)+1, 0)/100</f>
        <v>0</v>
      </c>
      <c r="K4" s="8">
        <v>0</v>
      </c>
      <c r="L4" s="8">
        <v>0</v>
      </c>
      <c r="M4" s="8">
        <v>0</v>
      </c>
      <c r="N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1.8714285714285715E-2</v>
      </c>
      <c r="O4"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4" s="14" t="str">
        <f>IF(data[[#This Row],[Weighted_Avg]]&lt;&gt;"", IFERROR(AVERAGE(#REF!,#REF!,#REF!), ""), "")</f>
        <v/>
      </c>
      <c r="Q4" s="4" t="b">
        <f>IF(data[[#This Row],[Date]]&gt;MAX(data[Date])-750, TRUE, FALSE)</f>
        <v>0</v>
      </c>
      <c r="T4">
        <v>1.399</v>
      </c>
    </row>
    <row r="5" spans="1:20">
      <c r="A5" s="4">
        <v>36996</v>
      </c>
      <c r="B5">
        <f>YEAR(data[[#This Row],[Date]])</f>
        <v>2001</v>
      </c>
      <c r="C5" s="6">
        <f t="shared" si="0"/>
        <v>7.0000000000000007E-2</v>
      </c>
      <c r="D5" s="7">
        <f t="shared" si="1"/>
        <v>-0.25</v>
      </c>
      <c r="E5" s="7">
        <f t="shared" si="2"/>
        <v>0</v>
      </c>
      <c r="F5" s="7">
        <f t="shared" si="3"/>
        <v>0</v>
      </c>
      <c r="G5" s="9">
        <v>5.4899999999999997E-2</v>
      </c>
      <c r="H5" s="15">
        <v>0</v>
      </c>
      <c r="I5" s="7">
        <f t="shared" si="4"/>
        <v>0</v>
      </c>
      <c r="J5" s="7">
        <f t="shared" si="5"/>
        <v>0</v>
      </c>
      <c r="K5" s="8">
        <v>0</v>
      </c>
      <c r="L5" s="8">
        <v>0</v>
      </c>
      <c r="M5" s="8">
        <v>0</v>
      </c>
      <c r="N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1.7842857142857143E-2</v>
      </c>
      <c r="O5"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5" s="14" t="str">
        <f>IF(data[[#This Row],[Weighted_Avg]]&lt;&gt;"", IFERROR(AVERAGE(#REF!,#REF!,#REF!), ""), "")</f>
        <v/>
      </c>
      <c r="Q5" s="4" t="b">
        <f>IF(data[[#This Row],[Date]]&gt;MAX(data[Date])-750, TRUE, FALSE)</f>
        <v>0</v>
      </c>
      <c r="T5">
        <v>1.4219999999999999</v>
      </c>
    </row>
    <row r="6" spans="1:20">
      <c r="A6" s="4">
        <v>37026</v>
      </c>
      <c r="B6">
        <f>YEAR(data[[#This Row],[Date]])</f>
        <v>2001</v>
      </c>
      <c r="C6" s="6">
        <f t="shared" si="0"/>
        <v>0.04</v>
      </c>
      <c r="D6" s="7">
        <f t="shared" si="1"/>
        <v>-0.27</v>
      </c>
      <c r="E6" s="7">
        <f t="shared" si="2"/>
        <v>0</v>
      </c>
      <c r="F6" s="7">
        <f t="shared" si="3"/>
        <v>0</v>
      </c>
      <c r="G6" s="9">
        <v>3.0499999999999999E-2</v>
      </c>
      <c r="H6" s="15">
        <v>0</v>
      </c>
      <c r="I6" s="7">
        <f t="shared" si="4"/>
        <v>0</v>
      </c>
      <c r="J6" s="7">
        <f t="shared" si="5"/>
        <v>0</v>
      </c>
      <c r="K6" s="8">
        <v>0</v>
      </c>
      <c r="L6" s="8">
        <v>0</v>
      </c>
      <c r="M6" s="8">
        <v>0</v>
      </c>
      <c r="N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1.0071428571428573E-2</v>
      </c>
      <c r="O6"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6" s="14" t="str">
        <f>IF(data[[#This Row],[Weighted_Avg]]&lt;&gt;"", IFERROR(AVERAGE(#REF!,#REF!,#REF!), ""), "")</f>
        <v/>
      </c>
      <c r="Q6" s="4" t="b">
        <f>IF(data[[#This Row],[Date]]&gt;MAX(data[Date])-750, TRUE, FALSE)</f>
        <v>0</v>
      </c>
      <c r="T6">
        <v>1.496</v>
      </c>
    </row>
    <row r="7" spans="1:20">
      <c r="A7" s="4">
        <v>37057</v>
      </c>
      <c r="B7">
        <f>YEAR(data[[#This Row],[Date]])</f>
        <v>2001</v>
      </c>
      <c r="C7" s="6">
        <f t="shared" si="0"/>
        <v>0.05</v>
      </c>
      <c r="D7" s="7">
        <f t="shared" si="1"/>
        <v>-0.26</v>
      </c>
      <c r="E7" s="7">
        <f t="shared" si="2"/>
        <v>0</v>
      </c>
      <c r="F7" s="7">
        <f t="shared" si="3"/>
        <v>0</v>
      </c>
      <c r="G7" s="9">
        <v>3.6600000000000001E-2</v>
      </c>
      <c r="H7" s="15">
        <v>0</v>
      </c>
      <c r="I7" s="7">
        <f t="shared" si="4"/>
        <v>0</v>
      </c>
      <c r="J7" s="7">
        <f t="shared" si="5"/>
        <v>0</v>
      </c>
      <c r="K7" s="8">
        <v>0</v>
      </c>
      <c r="L7" s="8">
        <v>0</v>
      </c>
      <c r="M7" s="8">
        <v>0</v>
      </c>
      <c r="N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1.2371428571428573E-2</v>
      </c>
      <c r="O7"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7" s="14" t="str">
        <f>IF(data[[#This Row],[Weighted_Avg]]&lt;&gt;"", IFERROR(AVERAGE(#REF!,#REF!,#REF!), ""), "")</f>
        <v/>
      </c>
      <c r="Q7" s="4" t="b">
        <f>IF(data[[#This Row],[Date]]&gt;MAX(data[Date])-750, TRUE, FALSE)</f>
        <v>0</v>
      </c>
      <c r="T7">
        <v>1.482</v>
      </c>
    </row>
    <row r="8" spans="1:20">
      <c r="A8" s="4">
        <v>37087</v>
      </c>
      <c r="B8">
        <f>YEAR(data[[#This Row],[Date]])</f>
        <v>2001</v>
      </c>
      <c r="C8" s="6">
        <f t="shared" si="0"/>
        <v>7.0000000000000007E-2</v>
      </c>
      <c r="D8" s="7">
        <f t="shared" si="1"/>
        <v>-0.25</v>
      </c>
      <c r="E8" s="7">
        <f t="shared" si="2"/>
        <v>0</v>
      </c>
      <c r="F8" s="7">
        <f t="shared" si="3"/>
        <v>0</v>
      </c>
      <c r="G8" s="9">
        <v>5.4899999999999997E-2</v>
      </c>
      <c r="H8" s="15">
        <v>0</v>
      </c>
      <c r="I8" s="7">
        <f t="shared" si="4"/>
        <v>0</v>
      </c>
      <c r="J8" s="7">
        <f t="shared" si="5"/>
        <v>0</v>
      </c>
      <c r="K8" s="8">
        <v>0</v>
      </c>
      <c r="L8" s="8">
        <v>0</v>
      </c>
      <c r="M8" s="8">
        <v>0</v>
      </c>
      <c r="N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1.7842857142857143E-2</v>
      </c>
      <c r="O8"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8" s="14" t="str">
        <f>IF(data[[#This Row],[Weighted_Avg]]&lt;&gt;"", IFERROR(AVERAGE(#REF!,#REF!,#REF!), ""), "")</f>
        <v/>
      </c>
      <c r="Q8" s="4" t="b">
        <f>IF(data[[#This Row],[Date]]&gt;MAX(data[Date])-750, TRUE, FALSE)</f>
        <v>0</v>
      </c>
      <c r="T8">
        <v>1.375</v>
      </c>
    </row>
    <row r="9" spans="1:20">
      <c r="A9" s="4">
        <v>37118</v>
      </c>
      <c r="B9">
        <f>YEAR(data[[#This Row],[Date]])</f>
        <v>2001</v>
      </c>
      <c r="C9" s="6">
        <f t="shared" si="0"/>
        <v>0.06</v>
      </c>
      <c r="D9" s="7">
        <f t="shared" si="1"/>
        <v>-0.25</v>
      </c>
      <c r="E9" s="7">
        <f t="shared" si="2"/>
        <v>0</v>
      </c>
      <c r="F9" s="7">
        <f t="shared" si="3"/>
        <v>0</v>
      </c>
      <c r="G9" s="9">
        <v>4.8800000000000003E-2</v>
      </c>
      <c r="H9" s="15">
        <v>0</v>
      </c>
      <c r="I9" s="7">
        <f t="shared" si="4"/>
        <v>0</v>
      </c>
      <c r="J9" s="7">
        <f t="shared" si="5"/>
        <v>0</v>
      </c>
      <c r="K9" s="8">
        <v>0</v>
      </c>
      <c r="L9" s="8">
        <v>0</v>
      </c>
      <c r="M9" s="8">
        <v>0</v>
      </c>
      <c r="N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1.5542857142857145E-2</v>
      </c>
      <c r="O9"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9" s="14" t="str">
        <f>IF(data[[#This Row],[Weighted_Avg]]&lt;&gt;"", IFERROR(AVERAGE(#REF!,#REF!,#REF!), ""), "")</f>
        <v/>
      </c>
      <c r="Q9" s="4" t="b">
        <f>IF(data[[#This Row],[Date]]&gt;MAX(data[Date])-750, TRUE, FALSE)</f>
        <v>0</v>
      </c>
      <c r="T9">
        <v>1.39</v>
      </c>
    </row>
    <row r="10" spans="1:20">
      <c r="A10" s="4">
        <v>37149</v>
      </c>
      <c r="B10">
        <f>YEAR(data[[#This Row],[Date]])</f>
        <v>2001</v>
      </c>
      <c r="C10" s="6">
        <f t="shared" si="0"/>
        <v>0.04</v>
      </c>
      <c r="D10" s="7">
        <f t="shared" si="1"/>
        <v>-0.28000000000000003</v>
      </c>
      <c r="E10" s="7">
        <f t="shared" si="2"/>
        <v>0</v>
      </c>
      <c r="F10" s="7">
        <f t="shared" si="3"/>
        <v>0</v>
      </c>
      <c r="G10" s="9">
        <v>3.0499999999999999E-2</v>
      </c>
      <c r="H10" s="15">
        <v>0</v>
      </c>
      <c r="I10" s="7">
        <f t="shared" si="4"/>
        <v>0</v>
      </c>
      <c r="J10" s="7">
        <f t="shared" si="5"/>
        <v>0</v>
      </c>
      <c r="K10" s="8">
        <v>0</v>
      </c>
      <c r="L10" s="8">
        <v>0</v>
      </c>
      <c r="M10" s="8">
        <v>0</v>
      </c>
      <c r="N1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1.0071428571428573E-2</v>
      </c>
      <c r="O10"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10" s="14" t="str">
        <f>IF(data[[#This Row],[Weighted_Avg]]&lt;&gt;"", IFERROR(AVERAGE(#REF!,#REF!,#REF!), ""), "")</f>
        <v/>
      </c>
      <c r="Q10" s="4" t="b">
        <f>IF(data[[#This Row],[Date]]&gt;MAX(data[Date])-750, TRUE, FALSE)</f>
        <v>0</v>
      </c>
      <c r="T10">
        <v>1.4950000000000001</v>
      </c>
    </row>
    <row r="11" spans="1:20">
      <c r="A11" s="4">
        <v>37179</v>
      </c>
      <c r="B11">
        <f>YEAR(data[[#This Row],[Date]])</f>
        <v>2001</v>
      </c>
      <c r="C11" s="6">
        <f t="shared" si="0"/>
        <v>0.04</v>
      </c>
      <c r="D11" s="7">
        <f t="shared" si="1"/>
        <v>-0.27</v>
      </c>
      <c r="E11" s="7">
        <f t="shared" si="2"/>
        <v>0</v>
      </c>
      <c r="F11" s="7">
        <f t="shared" si="3"/>
        <v>0</v>
      </c>
      <c r="G11" s="9">
        <v>3.0499999999999999E-2</v>
      </c>
      <c r="H11" s="15">
        <v>0</v>
      </c>
      <c r="I11" s="7">
        <f t="shared" si="4"/>
        <v>0</v>
      </c>
      <c r="J11" s="7">
        <f t="shared" si="5"/>
        <v>0</v>
      </c>
      <c r="K11" s="8">
        <v>0</v>
      </c>
      <c r="L11" s="8">
        <v>0</v>
      </c>
      <c r="M11" s="8">
        <v>0</v>
      </c>
      <c r="N1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1.0071428571428573E-2</v>
      </c>
      <c r="O11"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11" s="14" t="str">
        <f>IF(data[[#This Row],[Weighted_Avg]]&lt;&gt;"", IFERROR(AVERAGE(#REF!,#REF!,#REF!), ""), "")</f>
        <v/>
      </c>
      <c r="Q11" s="4" t="b">
        <f>IF(data[[#This Row],[Date]]&gt;MAX(data[Date])-750, TRUE, FALSE)</f>
        <v>0</v>
      </c>
      <c r="T11">
        <v>1.3480000000000001</v>
      </c>
    </row>
    <row r="12" spans="1:20">
      <c r="A12" s="4">
        <v>37210</v>
      </c>
      <c r="B12">
        <f>YEAR(data[[#This Row],[Date]])</f>
        <v>2001</v>
      </c>
      <c r="C12" s="6">
        <f t="shared" si="0"/>
        <v>7.0000000000000007E-2</v>
      </c>
      <c r="D12" s="7">
        <f t="shared" si="1"/>
        <v>-0.25</v>
      </c>
      <c r="E12" s="7">
        <f t="shared" si="2"/>
        <v>0</v>
      </c>
      <c r="F12" s="7">
        <f t="shared" ref="F12:F15" si="6">IF(T10&gt;3.25, ROUNDDOWN((T10-3.25)/0.05, 0)+1, 0)/100</f>
        <v>0</v>
      </c>
      <c r="G12" s="9">
        <v>5.4899999999999997E-2</v>
      </c>
      <c r="H12" s="15">
        <v>0</v>
      </c>
      <c r="I12" s="7">
        <f t="shared" si="4"/>
        <v>0</v>
      </c>
      <c r="J12" s="7">
        <f t="shared" si="5"/>
        <v>0</v>
      </c>
      <c r="K12" s="8">
        <v>0</v>
      </c>
      <c r="L12" s="8">
        <v>0</v>
      </c>
      <c r="M12" s="8">
        <v>0</v>
      </c>
      <c r="N1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1.7842857142857143E-2</v>
      </c>
      <c r="O12"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12" s="14" t="str">
        <f>IF(data[[#This Row],[Weighted_Avg]]&lt;&gt;"", IFERROR(AVERAGE(#REF!,#REF!,#REF!), ""), "")</f>
        <v/>
      </c>
      <c r="Q12" s="14" t="b">
        <f>IF(data[[#This Row],[Date]]&gt;MAX(data[Date])-750, TRUE, FALSE)</f>
        <v>0</v>
      </c>
      <c r="T12">
        <v>1.2589999999999999</v>
      </c>
    </row>
    <row r="13" spans="1:20">
      <c r="A13" s="4">
        <v>37240</v>
      </c>
      <c r="B13">
        <f>YEAR(data[[#This Row],[Date]])</f>
        <v>2001</v>
      </c>
      <c r="C13" s="6">
        <f t="shared" si="0"/>
        <v>0.03</v>
      </c>
      <c r="D13" s="7">
        <f t="shared" si="1"/>
        <v>-0.28000000000000003</v>
      </c>
      <c r="E13" s="7">
        <f t="shared" si="2"/>
        <v>0</v>
      </c>
      <c r="F13" s="7">
        <f t="shared" si="6"/>
        <v>0</v>
      </c>
      <c r="G13" s="9">
        <v>2.4400000000000002E-2</v>
      </c>
      <c r="H13" s="15">
        <v>0</v>
      </c>
      <c r="I13" s="7">
        <f t="shared" si="4"/>
        <v>0</v>
      </c>
      <c r="J13" s="7">
        <f t="shared" si="5"/>
        <v>0</v>
      </c>
      <c r="K13" s="8">
        <v>0</v>
      </c>
      <c r="L13" s="8">
        <v>0</v>
      </c>
      <c r="M13" s="8">
        <v>0</v>
      </c>
      <c r="N1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7.7714285714285724E-3</v>
      </c>
      <c r="O13" s="15" t="str">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
      </c>
      <c r="P13" s="14" t="str">
        <f>IF(data[[#This Row],[Weighted_Avg]]&lt;&gt;"", IFERROR(AVERAGE(O1,#REF!,#REF!), ""), "")</f>
        <v/>
      </c>
      <c r="Q13" s="14" t="b">
        <f>IF(data[[#This Row],[Date]]&gt;MAX(data[Date])-750, TRUE, FALSE)</f>
        <v>0</v>
      </c>
      <c r="T13">
        <v>1.167</v>
      </c>
    </row>
    <row r="14" spans="1:20">
      <c r="A14" s="4">
        <v>37271</v>
      </c>
      <c r="B14">
        <f>YEAR(data[[#This Row],[Date]])</f>
        <v>2002</v>
      </c>
      <c r="C14" s="6">
        <f t="shared" si="0"/>
        <v>0.01</v>
      </c>
      <c r="D14" s="7">
        <f t="shared" si="1"/>
        <v>-0.31</v>
      </c>
      <c r="E14" s="7">
        <f t="shared" si="2"/>
        <v>0</v>
      </c>
      <c r="F14" s="7">
        <f t="shared" si="6"/>
        <v>0</v>
      </c>
      <c r="G14" s="9">
        <v>6.1000000000000004E-3</v>
      </c>
      <c r="H14" s="15">
        <v>0</v>
      </c>
      <c r="I14" s="7">
        <f t="shared" si="4"/>
        <v>0</v>
      </c>
      <c r="J14" s="7">
        <f t="shared" si="5"/>
        <v>0</v>
      </c>
      <c r="K14" s="8">
        <v>0</v>
      </c>
      <c r="L14" s="8">
        <v>0</v>
      </c>
      <c r="M14" s="8">
        <v>0</v>
      </c>
      <c r="N1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2.3E-3</v>
      </c>
      <c r="O1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3.5268799999999996E-3</v>
      </c>
      <c r="P14" s="14" t="str">
        <f>IF(data[[#This Row],[Weighted_Avg]]&lt;&gt;"", IFERROR(AVERAGE(O2,#REF!,#REF!), ""), "")</f>
        <v/>
      </c>
      <c r="Q14" s="14" t="b">
        <f>IF(data[[#This Row],[Date]]&gt;MAX(data[Date])-750, TRUE, FALSE)</f>
        <v>0</v>
      </c>
      <c r="T14">
        <v>1.153</v>
      </c>
    </row>
    <row r="15" spans="1:20">
      <c r="A15" s="4">
        <v>37302</v>
      </c>
      <c r="B15">
        <f>YEAR(data[[#This Row],[Date]])</f>
        <v>2002</v>
      </c>
      <c r="C15" s="6">
        <f t="shared" si="0"/>
        <v>0</v>
      </c>
      <c r="D15" s="7">
        <f t="shared" si="1"/>
        <v>-0.33</v>
      </c>
      <c r="E15" s="7">
        <f t="shared" si="2"/>
        <v>0</v>
      </c>
      <c r="F15" s="7">
        <f t="shared" si="6"/>
        <v>0</v>
      </c>
      <c r="G15" s="9">
        <v>0</v>
      </c>
      <c r="H15" s="15">
        <v>0</v>
      </c>
      <c r="I15" s="7">
        <f t="shared" si="4"/>
        <v>0</v>
      </c>
      <c r="J15" s="7">
        <f t="shared" si="5"/>
        <v>0</v>
      </c>
      <c r="K15" s="8">
        <v>0</v>
      </c>
      <c r="L15" s="8">
        <v>0</v>
      </c>
      <c r="M15" s="8">
        <v>0</v>
      </c>
      <c r="N1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v>
      </c>
      <c r="O1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v>
      </c>
      <c r="P15" s="14" t="str">
        <f>IF(data[[#This Row],[Weighted_Avg]]&lt;&gt;"", IFERROR(AVERAGE(O3,#REF!,#REF!), ""), "")</f>
        <v/>
      </c>
      <c r="Q15" s="14" t="b">
        <f>IF(data[[#This Row],[Date]]&gt;MAX(data[Date])-750, TRUE, FALSE)</f>
        <v>0</v>
      </c>
      <c r="T15">
        <v>1.1519999999999999</v>
      </c>
    </row>
    <row r="16" spans="1:20">
      <c r="A16" s="4">
        <v>37330</v>
      </c>
      <c r="B16">
        <f>YEAR(data[[#This Row],[Date]])</f>
        <v>2002</v>
      </c>
      <c r="C16" s="6">
        <f t="shared" si="0"/>
        <v>0</v>
      </c>
      <c r="D16" s="7">
        <f t="shared" si="1"/>
        <v>-0.33</v>
      </c>
      <c r="E16" s="7">
        <f t="shared" si="2"/>
        <v>0</v>
      </c>
      <c r="F16" s="7">
        <f>IF(T14&gt;3.25, ROUNDDOWN((T14-3.25)/0.05, 0)+1, 0)/100</f>
        <v>0</v>
      </c>
      <c r="G16" s="9">
        <v>0</v>
      </c>
      <c r="H16" s="15">
        <v>0</v>
      </c>
      <c r="I16" s="7">
        <f t="shared" si="4"/>
        <v>0</v>
      </c>
      <c r="J16" s="7">
        <f t="shared" si="5"/>
        <v>0</v>
      </c>
      <c r="K16" s="8">
        <v>0</v>
      </c>
      <c r="L16" s="8">
        <v>0</v>
      </c>
      <c r="M16" s="8">
        <v>0</v>
      </c>
      <c r="N1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v>
      </c>
      <c r="O1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v>
      </c>
      <c r="P16" s="14" t="str">
        <f>IF(data[[#This Row],[Weighted_Avg]]&lt;&gt;"", IFERROR(AVERAGE(O4,#REF!,#REF!), ""), "")</f>
        <v/>
      </c>
      <c r="Q16" s="14" t="b">
        <f>IF(data[[#This Row],[Date]]&gt;MAX(data[Date])-750, TRUE, FALSE)</f>
        <v>0</v>
      </c>
      <c r="T16">
        <v>1.23</v>
      </c>
    </row>
    <row r="17" spans="1:20">
      <c r="A17" s="4">
        <v>37361</v>
      </c>
      <c r="B17">
        <f>YEAR(data[[#This Row],[Date]])</f>
        <v>2002</v>
      </c>
      <c r="C17" s="6">
        <f t="shared" si="0"/>
        <v>0</v>
      </c>
      <c r="D17" s="7">
        <f t="shared" si="1"/>
        <v>-0.33</v>
      </c>
      <c r="E17" s="7">
        <f t="shared" si="2"/>
        <v>0</v>
      </c>
      <c r="F17" s="7">
        <f t="shared" ref="F17:F18" si="7">IF(T15&gt;3.25, ROUNDDOWN((T15-3.25)/0.05, 0)+1, 0)/100</f>
        <v>0</v>
      </c>
      <c r="G17" s="9">
        <v>0</v>
      </c>
      <c r="H17" s="15">
        <v>0</v>
      </c>
      <c r="I17" s="7">
        <f t="shared" si="4"/>
        <v>0</v>
      </c>
      <c r="J17" s="7">
        <f t="shared" si="5"/>
        <v>0</v>
      </c>
      <c r="K17" s="8">
        <v>0</v>
      </c>
      <c r="L17" s="8">
        <v>0</v>
      </c>
      <c r="M17" s="8">
        <v>0</v>
      </c>
      <c r="N1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v>
      </c>
      <c r="O1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v>
      </c>
      <c r="P17" s="14" t="str">
        <f>IF(data[[#This Row],[Weighted_Avg]]&lt;&gt;"", IFERROR(AVERAGE(O5,#REF!,#REF!), ""), "")</f>
        <v/>
      </c>
      <c r="Q17" s="14" t="b">
        <f>IF(data[[#This Row],[Date]]&gt;MAX(data[Date])-750, TRUE, FALSE)</f>
        <v>0</v>
      </c>
      <c r="T17">
        <v>1.3089999999999999</v>
      </c>
    </row>
    <row r="18" spans="1:20">
      <c r="A18" s="4">
        <v>37391</v>
      </c>
      <c r="B18">
        <f>YEAR(data[[#This Row],[Date]])</f>
        <v>2002</v>
      </c>
      <c r="C18" s="6">
        <f t="shared" si="0"/>
        <v>0</v>
      </c>
      <c r="D18" s="7">
        <f t="shared" si="1"/>
        <v>-0.31</v>
      </c>
      <c r="E18" s="7">
        <f t="shared" si="2"/>
        <v>0</v>
      </c>
      <c r="F18" s="7">
        <f t="shared" si="7"/>
        <v>0</v>
      </c>
      <c r="G18" s="9">
        <v>0</v>
      </c>
      <c r="H18" s="15">
        <v>0</v>
      </c>
      <c r="I18" s="7">
        <f t="shared" si="4"/>
        <v>0</v>
      </c>
      <c r="J18" s="7">
        <f t="shared" si="5"/>
        <v>0</v>
      </c>
      <c r="K18" s="8">
        <v>0</v>
      </c>
      <c r="L18" s="8">
        <v>0</v>
      </c>
      <c r="M18" s="8">
        <v>0</v>
      </c>
      <c r="N1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v>
      </c>
      <c r="O1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v>
      </c>
      <c r="P18" s="14" t="str">
        <f>IF(data[[#This Row],[Weighted_Avg]]&lt;&gt;"", IFERROR(AVERAGE(O6,#REF!,#REF!), ""), "")</f>
        <v/>
      </c>
      <c r="Q18" s="14" t="b">
        <f>IF(data[[#This Row],[Date]]&gt;MAX(data[Date])-750, TRUE, FALSE)</f>
        <v>0</v>
      </c>
      <c r="T18">
        <v>1.3049999999999999</v>
      </c>
    </row>
    <row r="19" spans="1:20">
      <c r="A19" s="4">
        <v>37422</v>
      </c>
      <c r="B19">
        <f>YEAR(data[[#This Row],[Date]])</f>
        <v>2002</v>
      </c>
      <c r="C19" s="6">
        <f t="shared" si="0"/>
        <v>0.02</v>
      </c>
      <c r="D19" s="7">
        <f t="shared" si="1"/>
        <v>-0.28999999999999998</v>
      </c>
      <c r="E19" s="7">
        <f t="shared" si="2"/>
        <v>0</v>
      </c>
      <c r="F19" s="7">
        <f>IF(T17&gt;3.25, ROUNDDOWN((T17-3.25)/0.05, 0)+1, 0)/100</f>
        <v>0</v>
      </c>
      <c r="G19" s="9">
        <v>1.2200000000000001E-2</v>
      </c>
      <c r="H19" s="15">
        <v>0</v>
      </c>
      <c r="I19" s="7">
        <f t="shared" si="4"/>
        <v>0</v>
      </c>
      <c r="J19" s="7">
        <f t="shared" si="5"/>
        <v>0</v>
      </c>
      <c r="K19" s="8">
        <v>0</v>
      </c>
      <c r="L19" s="8">
        <v>0</v>
      </c>
      <c r="M19" s="8">
        <v>0</v>
      </c>
      <c r="N1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4.5999999999999999E-3</v>
      </c>
      <c r="O1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7.0537599999999992E-3</v>
      </c>
      <c r="P19" s="14" t="str">
        <f>IF(data[[#This Row],[Weighted_Avg]]&lt;&gt;"", IFERROR(AVERAGE(O7,#REF!,#REF!), ""), "")</f>
        <v/>
      </c>
      <c r="Q19" s="14" t="b">
        <f>IF(data[[#This Row],[Date]]&gt;MAX(data[Date])-750, TRUE, FALSE)</f>
        <v>0</v>
      </c>
      <c r="T19">
        <v>1.286</v>
      </c>
    </row>
    <row r="20" spans="1:20">
      <c r="A20" s="4">
        <v>37452</v>
      </c>
      <c r="B20">
        <f>YEAR(data[[#This Row],[Date]])</f>
        <v>2002</v>
      </c>
      <c r="C20" s="6">
        <f t="shared" si="0"/>
        <v>0.02</v>
      </c>
      <c r="D20" s="7">
        <f t="shared" si="1"/>
        <v>-0.28999999999999998</v>
      </c>
      <c r="E20" s="7">
        <f t="shared" si="2"/>
        <v>0</v>
      </c>
      <c r="F20" s="7">
        <f t="shared" ref="F20:F82" si="8">IF(T18&gt;3.25, ROUNDDOWN((T18-3.25)/0.05, 0)+1, 0)/100</f>
        <v>0</v>
      </c>
      <c r="G20" s="9">
        <v>1.2200000000000001E-2</v>
      </c>
      <c r="H20" s="15">
        <v>0</v>
      </c>
      <c r="I20" s="7">
        <f t="shared" si="4"/>
        <v>0</v>
      </c>
      <c r="J20" s="7">
        <f t="shared" si="5"/>
        <v>0</v>
      </c>
      <c r="K20" s="8">
        <v>0</v>
      </c>
      <c r="L20" s="8">
        <v>0</v>
      </c>
      <c r="M20" s="8">
        <v>0</v>
      </c>
      <c r="N2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4.5999999999999999E-3</v>
      </c>
      <c r="O2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7.0537599999999992E-3</v>
      </c>
      <c r="P20" s="14" t="str">
        <f>IF(data[[#This Row],[Weighted_Avg]]&lt;&gt;"", IFERROR(AVERAGE(O8,#REF!,#REF!), ""), "")</f>
        <v/>
      </c>
      <c r="Q20" s="14" t="b">
        <f>IF(data[[#This Row],[Date]]&gt;MAX(data[Date])-750, TRUE, FALSE)</f>
        <v>0</v>
      </c>
      <c r="T20">
        <v>1.2989999999999999</v>
      </c>
    </row>
    <row r="21" spans="1:20">
      <c r="A21" s="4">
        <v>37483</v>
      </c>
      <c r="B21">
        <f>YEAR(data[[#This Row],[Date]])</f>
        <v>2002</v>
      </c>
      <c r="C21" s="6">
        <f t="shared" si="0"/>
        <v>0.01</v>
      </c>
      <c r="D21" s="7">
        <f t="shared" si="1"/>
        <v>-0.3</v>
      </c>
      <c r="E21" s="7">
        <f t="shared" si="2"/>
        <v>0</v>
      </c>
      <c r="F21" s="7">
        <f t="shared" si="8"/>
        <v>0</v>
      </c>
      <c r="G21" s="9">
        <v>1.2200000000000001E-2</v>
      </c>
      <c r="H21" s="15">
        <v>0</v>
      </c>
      <c r="I21" s="7">
        <f t="shared" si="4"/>
        <v>0</v>
      </c>
      <c r="J21" s="7">
        <f t="shared" si="5"/>
        <v>0</v>
      </c>
      <c r="K21" s="8">
        <v>0</v>
      </c>
      <c r="L21" s="8">
        <v>0</v>
      </c>
      <c r="M21" s="8">
        <v>0</v>
      </c>
      <c r="N2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3.1714285714285716E-3</v>
      </c>
      <c r="O2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4.3247599999999995E-3</v>
      </c>
      <c r="P21" s="14" t="str">
        <f>IF(data[[#This Row],[Weighted_Avg]]&lt;&gt;"", IFERROR(AVERAGE(O9,#REF!,#REF!), ""), "")</f>
        <v/>
      </c>
      <c r="Q21" s="14" t="b">
        <f>IF(data[[#This Row],[Date]]&gt;MAX(data[Date])-750, TRUE, FALSE)</f>
        <v>0</v>
      </c>
      <c r="T21">
        <v>1.3280000000000001</v>
      </c>
    </row>
    <row r="22" spans="1:20">
      <c r="A22" s="4">
        <v>37514</v>
      </c>
      <c r="B22">
        <f>YEAR(data[[#This Row],[Date]])</f>
        <v>2002</v>
      </c>
      <c r="C22" s="6">
        <f t="shared" si="0"/>
        <v>0.02</v>
      </c>
      <c r="D22" s="7">
        <f t="shared" si="1"/>
        <v>-0.3</v>
      </c>
      <c r="E22" s="7">
        <f t="shared" si="2"/>
        <v>0</v>
      </c>
      <c r="F22" s="7">
        <f t="shared" si="8"/>
        <v>0</v>
      </c>
      <c r="G22" s="9">
        <v>1.2200000000000001E-2</v>
      </c>
      <c r="H22" s="15">
        <v>0</v>
      </c>
      <c r="I22" s="7">
        <f t="shared" si="4"/>
        <v>0</v>
      </c>
      <c r="J22" s="7">
        <f t="shared" si="5"/>
        <v>0</v>
      </c>
      <c r="K22" s="8">
        <v>0</v>
      </c>
      <c r="L22" s="8">
        <v>0</v>
      </c>
      <c r="M22" s="8">
        <v>0</v>
      </c>
      <c r="N2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4.5999999999999999E-3</v>
      </c>
      <c r="O2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7.0537599999999992E-3</v>
      </c>
      <c r="P22" s="14" t="str">
        <f>IF(data[[#This Row],[Weighted_Avg]]&lt;&gt;"", IFERROR(AVERAGE(O10,#REF!,#REF!), ""), "")</f>
        <v/>
      </c>
      <c r="Q22" s="14" t="b">
        <f>IF(data[[#This Row],[Date]]&gt;MAX(data[Date])-750, TRUE, FALSE)</f>
        <v>0</v>
      </c>
      <c r="T22">
        <v>1.411</v>
      </c>
    </row>
    <row r="23" spans="1:20">
      <c r="A23" s="4">
        <v>37544</v>
      </c>
      <c r="B23">
        <f>YEAR(data[[#This Row],[Date]])</f>
        <v>2002</v>
      </c>
      <c r="C23" s="6">
        <f t="shared" si="0"/>
        <v>0.02</v>
      </c>
      <c r="D23" s="7">
        <f t="shared" si="1"/>
        <v>-0.28999999999999998</v>
      </c>
      <c r="E23" s="7">
        <f t="shared" si="2"/>
        <v>0</v>
      </c>
      <c r="F23" s="7">
        <f t="shared" si="8"/>
        <v>0</v>
      </c>
      <c r="G23" s="9">
        <v>1.83E-2</v>
      </c>
      <c r="H23" s="15">
        <v>0</v>
      </c>
      <c r="I23" s="7">
        <f t="shared" si="4"/>
        <v>0</v>
      </c>
      <c r="J23" s="7">
        <f t="shared" si="5"/>
        <v>0</v>
      </c>
      <c r="K23" s="8">
        <v>0</v>
      </c>
      <c r="L23" s="8">
        <v>0</v>
      </c>
      <c r="M23" s="8">
        <v>0</v>
      </c>
      <c r="N2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5.4714285714285715E-3</v>
      </c>
      <c r="O2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7.85164E-3</v>
      </c>
      <c r="P23" s="14" t="str">
        <f>IF(data[[#This Row],[Weighted_Avg]]&lt;&gt;"", IFERROR(AVERAGE(O11,#REF!,#REF!), ""), "")</f>
        <v/>
      </c>
      <c r="Q23" s="14" t="b">
        <f>IF(data[[#This Row],[Date]]&gt;MAX(data[Date])-750, TRUE, FALSE)</f>
        <v>0</v>
      </c>
      <c r="T23">
        <v>1.462</v>
      </c>
    </row>
    <row r="24" spans="1:20">
      <c r="A24" s="4">
        <v>37575</v>
      </c>
      <c r="B24">
        <f>YEAR(data[[#This Row],[Date]])</f>
        <v>2002</v>
      </c>
      <c r="C24" s="6">
        <f t="shared" si="0"/>
        <v>0.05</v>
      </c>
      <c r="D24" s="7">
        <f t="shared" si="1"/>
        <v>-0.27</v>
      </c>
      <c r="E24" s="7">
        <f t="shared" si="2"/>
        <v>0</v>
      </c>
      <c r="F24" s="7">
        <f t="shared" si="8"/>
        <v>0</v>
      </c>
      <c r="G24" s="9">
        <v>3.6600000000000001E-2</v>
      </c>
      <c r="H24" s="15">
        <v>0</v>
      </c>
      <c r="I24" s="7">
        <f t="shared" si="4"/>
        <v>0</v>
      </c>
      <c r="J24" s="7">
        <f t="shared" si="5"/>
        <v>0</v>
      </c>
      <c r="K24" s="8">
        <v>0</v>
      </c>
      <c r="L24" s="8">
        <v>0</v>
      </c>
      <c r="M24" s="8">
        <v>0</v>
      </c>
      <c r="N2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1.2371428571428573E-2</v>
      </c>
      <c r="O2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1.8432279999999999E-2</v>
      </c>
      <c r="P24" s="14" t="str">
        <f>IF(data[[#This Row],[Weighted_Avg]]&lt;&gt;"", IFERROR(AVERAGE(O12,#REF!,#REF!), ""), "")</f>
        <v/>
      </c>
      <c r="Q24" s="14" t="b">
        <f>IF(data[[#This Row],[Date]]&gt;MAX(data[Date])-750, TRUE, FALSE)</f>
        <v>0</v>
      </c>
      <c r="T24">
        <v>1.42</v>
      </c>
    </row>
    <row r="25" spans="1:20">
      <c r="A25" s="4">
        <v>37605</v>
      </c>
      <c r="B25">
        <f>YEAR(data[[#This Row],[Date]])</f>
        <v>2002</v>
      </c>
      <c r="C25" s="6">
        <f t="shared" si="0"/>
        <v>0.06</v>
      </c>
      <c r="D25" s="7">
        <f t="shared" si="1"/>
        <v>-0.25</v>
      </c>
      <c r="E25" s="7">
        <f t="shared" si="2"/>
        <v>0</v>
      </c>
      <c r="F25" s="7">
        <f t="shared" si="8"/>
        <v>0</v>
      </c>
      <c r="G25" s="9">
        <v>4.8800000000000003E-2</v>
      </c>
      <c r="H25" s="15">
        <v>0</v>
      </c>
      <c r="I25" s="7">
        <f t="shared" si="4"/>
        <v>0</v>
      </c>
      <c r="J25" s="7">
        <f t="shared" si="5"/>
        <v>0</v>
      </c>
      <c r="K25" s="8">
        <v>0</v>
      </c>
      <c r="L25" s="8">
        <v>0</v>
      </c>
      <c r="M25" s="8">
        <v>0</v>
      </c>
      <c r="N2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1.5542857142857145E-2</v>
      </c>
      <c r="O2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2.2757039999999999E-2</v>
      </c>
      <c r="P25" s="14" t="str">
        <f>IF(data[[#This Row],[Weighted_Avg]]&lt;&gt;"", IFERROR(AVERAGE(O13,O1,#REF!), ""), "")</f>
        <v/>
      </c>
      <c r="Q25" s="14" t="b">
        <f>IF(data[[#This Row],[Date]]&gt;MAX(data[Date])-750, TRUE, FALSE)</f>
        <v>0</v>
      </c>
      <c r="T25">
        <v>1.429</v>
      </c>
    </row>
    <row r="26" spans="1:20">
      <c r="A26" s="4">
        <v>37636</v>
      </c>
      <c r="B26">
        <f>YEAR(data[[#This Row],[Date]])</f>
        <v>2003</v>
      </c>
      <c r="C26" s="6">
        <f t="shared" si="0"/>
        <v>0.05</v>
      </c>
      <c r="D26" s="7">
        <f t="shared" si="1"/>
        <v>-0.26</v>
      </c>
      <c r="E26" s="7">
        <f t="shared" si="2"/>
        <v>0</v>
      </c>
      <c r="F26" s="7">
        <f t="shared" si="8"/>
        <v>0</v>
      </c>
      <c r="G26" s="9">
        <v>3.6600000000000001E-2</v>
      </c>
      <c r="H26" s="15">
        <v>0</v>
      </c>
      <c r="I26" s="7">
        <f t="shared" si="4"/>
        <v>0</v>
      </c>
      <c r="J26" s="7">
        <f t="shared" si="5"/>
        <v>0</v>
      </c>
      <c r="K26" s="8">
        <v>0</v>
      </c>
      <c r="L26" s="8">
        <v>0</v>
      </c>
      <c r="M26" s="8">
        <v>0</v>
      </c>
      <c r="N2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1.2371428571428573E-2</v>
      </c>
      <c r="O2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1.883048E-2</v>
      </c>
      <c r="P26" s="14" t="str">
        <f>IF(data[[#This Row],[Weighted_Avg]]&lt;&gt;"", IFERROR(AVERAGE(O14,O2,#REF!), ""), "")</f>
        <v/>
      </c>
      <c r="Q26" s="14" t="b">
        <f>IF(data[[#This Row],[Date]]&gt;MAX(data[Date])-750, TRUE, FALSE)</f>
        <v>0</v>
      </c>
      <c r="T26">
        <v>1.488</v>
      </c>
    </row>
    <row r="27" spans="1:20">
      <c r="A27" s="4">
        <v>37667</v>
      </c>
      <c r="B27">
        <f>YEAR(data[[#This Row],[Date]])</f>
        <v>2003</v>
      </c>
      <c r="C27" s="6">
        <f t="shared" si="0"/>
        <v>0.05</v>
      </c>
      <c r="D27" s="7">
        <f t="shared" si="1"/>
        <v>-0.26</v>
      </c>
      <c r="E27" s="7">
        <f t="shared" si="2"/>
        <v>0</v>
      </c>
      <c r="F27" s="7">
        <f t="shared" si="8"/>
        <v>0</v>
      </c>
      <c r="G27" s="9">
        <v>3.6600000000000001E-2</v>
      </c>
      <c r="H27" s="15">
        <v>0</v>
      </c>
      <c r="I27" s="7">
        <f t="shared" si="4"/>
        <v>0</v>
      </c>
      <c r="J27" s="7">
        <f t="shared" si="5"/>
        <v>0</v>
      </c>
      <c r="K27" s="8">
        <v>0</v>
      </c>
      <c r="L27" s="8">
        <v>0</v>
      </c>
      <c r="M27" s="8">
        <v>0</v>
      </c>
      <c r="N2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1.2371428571428573E-2</v>
      </c>
      <c r="O2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1.883048E-2</v>
      </c>
      <c r="P27" s="14" t="str">
        <f>IF(data[[#This Row],[Weighted_Avg]]&lt;&gt;"", IFERROR(AVERAGE(O15,O3,#REF!), ""), "")</f>
        <v/>
      </c>
      <c r="Q27" s="14" t="b">
        <f>IF(data[[#This Row],[Date]]&gt;MAX(data[Date])-750, TRUE, FALSE)</f>
        <v>0</v>
      </c>
      <c r="T27">
        <v>1.6539999999999999</v>
      </c>
    </row>
    <row r="28" spans="1:20">
      <c r="A28" s="4">
        <v>37695</v>
      </c>
      <c r="B28">
        <f>YEAR(data[[#This Row],[Date]])</f>
        <v>2003</v>
      </c>
      <c r="C28" s="6">
        <f t="shared" si="0"/>
        <v>0.06</v>
      </c>
      <c r="D28" s="7">
        <f t="shared" si="1"/>
        <v>-0.25</v>
      </c>
      <c r="E28" s="7">
        <f t="shared" si="2"/>
        <v>0</v>
      </c>
      <c r="F28" s="7">
        <f t="shared" si="8"/>
        <v>0</v>
      </c>
      <c r="G28" s="9">
        <v>4.8800000000000003E-2</v>
      </c>
      <c r="H28" s="15">
        <v>0</v>
      </c>
      <c r="I28" s="7">
        <f t="shared" si="4"/>
        <v>0</v>
      </c>
      <c r="J28" s="7">
        <f t="shared" si="5"/>
        <v>0</v>
      </c>
      <c r="K28" s="8">
        <v>0</v>
      </c>
      <c r="L28" s="8">
        <v>0</v>
      </c>
      <c r="M28" s="8">
        <v>0</v>
      </c>
      <c r="N2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1.5542857142857145E-2</v>
      </c>
      <c r="O2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2.3244639999999997E-2</v>
      </c>
      <c r="P28" s="14" t="str">
        <f>IF(data[[#This Row],[Weighted_Avg]]&lt;&gt;"", IFERROR(AVERAGE(O16,O4,#REF!), ""), "")</f>
        <v/>
      </c>
      <c r="Q28" s="14" t="b">
        <f>IF(data[[#This Row],[Date]]&gt;MAX(data[Date])-750, TRUE, FALSE)</f>
        <v>0</v>
      </c>
      <c r="T28">
        <v>1.708</v>
      </c>
    </row>
    <row r="29" spans="1:20">
      <c r="A29" s="4">
        <v>37726</v>
      </c>
      <c r="B29">
        <f>YEAR(data[[#This Row],[Date]])</f>
        <v>2003</v>
      </c>
      <c r="C29" s="6">
        <f t="shared" si="0"/>
        <v>0.11</v>
      </c>
      <c r="D29" s="7">
        <f t="shared" si="1"/>
        <v>-0.21</v>
      </c>
      <c r="E29" s="7">
        <f t="shared" si="2"/>
        <v>0</v>
      </c>
      <c r="F29" s="7">
        <f t="shared" si="8"/>
        <v>0</v>
      </c>
      <c r="G29" s="9">
        <v>8.5400000000000004E-2</v>
      </c>
      <c r="H29" s="15">
        <v>0</v>
      </c>
      <c r="I29" s="7">
        <f t="shared" si="4"/>
        <v>0</v>
      </c>
      <c r="J29" s="7">
        <f t="shared" si="5"/>
        <v>0</v>
      </c>
      <c r="K29" s="8">
        <v>0</v>
      </c>
      <c r="L29" s="8">
        <v>0</v>
      </c>
      <c r="M29" s="8">
        <v>0</v>
      </c>
      <c r="N2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2.7914285714285718E-2</v>
      </c>
      <c r="O2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4.2075120000000001E-2</v>
      </c>
      <c r="P29" s="14" t="str">
        <f>IF(data[[#This Row],[Weighted_Avg]]&lt;&gt;"", IFERROR(AVERAGE(O17,O5,#REF!), ""), "")</f>
        <v/>
      </c>
      <c r="Q29" s="14" t="b">
        <f>IF(data[[#This Row],[Date]]&gt;MAX(data[Date])-750, TRUE, FALSE)</f>
        <v>0</v>
      </c>
      <c r="T29">
        <v>1.5329999999999999</v>
      </c>
    </row>
    <row r="30" spans="1:20">
      <c r="A30" s="4">
        <v>37756</v>
      </c>
      <c r="B30">
        <f>YEAR(data[[#This Row],[Date]])</f>
        <v>2003</v>
      </c>
      <c r="C30" s="6">
        <f t="shared" si="0"/>
        <v>0.12</v>
      </c>
      <c r="D30" s="7">
        <f t="shared" si="1"/>
        <v>-0.19</v>
      </c>
      <c r="E30" s="7">
        <f t="shared" si="2"/>
        <v>0</v>
      </c>
      <c r="F30" s="7">
        <f t="shared" si="8"/>
        <v>0</v>
      </c>
      <c r="G30" s="9">
        <v>9.7600000000000006E-2</v>
      </c>
      <c r="H30" s="15">
        <v>0</v>
      </c>
      <c r="I30" s="7">
        <f t="shared" si="4"/>
        <v>0</v>
      </c>
      <c r="J30" s="7">
        <f t="shared" si="5"/>
        <v>0</v>
      </c>
      <c r="K30" s="8">
        <v>0</v>
      </c>
      <c r="L30" s="8">
        <v>0</v>
      </c>
      <c r="M30" s="8">
        <v>0</v>
      </c>
      <c r="N3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3.1085714285714289E-2</v>
      </c>
      <c r="O3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4.6489279999999994E-2</v>
      </c>
      <c r="P30" s="14" t="str">
        <f>IF(data[[#This Row],[Weighted_Avg]]&lt;&gt;"", IFERROR(AVERAGE(O18,O6,#REF!), ""), "")</f>
        <v/>
      </c>
      <c r="Q30" s="14" t="b">
        <f>IF(data[[#This Row],[Date]]&gt;MAX(data[Date])-750, TRUE, FALSE)</f>
        <v>0</v>
      </c>
      <c r="T30">
        <v>1.4510000000000001</v>
      </c>
    </row>
    <row r="31" spans="1:20">
      <c r="A31" s="4">
        <v>37787</v>
      </c>
      <c r="B31">
        <f>YEAR(data[[#This Row],[Date]])</f>
        <v>2003</v>
      </c>
      <c r="C31" s="6">
        <f t="shared" si="0"/>
        <v>0.08</v>
      </c>
      <c r="D31" s="7">
        <f t="shared" si="1"/>
        <v>-0.24</v>
      </c>
      <c r="E31" s="7">
        <f t="shared" si="2"/>
        <v>0</v>
      </c>
      <c r="F31" s="7">
        <f t="shared" si="8"/>
        <v>0</v>
      </c>
      <c r="G31" s="9">
        <v>6.0999999999999999E-2</v>
      </c>
      <c r="H31" s="15">
        <v>0</v>
      </c>
      <c r="I31" s="7">
        <f t="shared" si="4"/>
        <v>0</v>
      </c>
      <c r="J31" s="7">
        <f t="shared" si="5"/>
        <v>0</v>
      </c>
      <c r="K31" s="8">
        <v>0</v>
      </c>
      <c r="L31" s="8">
        <v>0</v>
      </c>
      <c r="M31" s="8">
        <v>0</v>
      </c>
      <c r="N3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2.0142857142857146E-2</v>
      </c>
      <c r="O3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3.0452800000000002E-2</v>
      </c>
      <c r="P31" s="14" t="str">
        <f>IF(data[[#This Row],[Weighted_Avg]]&lt;&gt;"", IFERROR(AVERAGE(O19,O7,#REF!), ""), "")</f>
        <v/>
      </c>
      <c r="Q31" s="14" t="b">
        <f>IF(data[[#This Row],[Date]]&gt;MAX(data[Date])-750, TRUE, FALSE)</f>
        <v>0</v>
      </c>
      <c r="T31">
        <v>1.4239999999999999</v>
      </c>
    </row>
    <row r="32" spans="1:20">
      <c r="A32" s="4">
        <v>37817</v>
      </c>
      <c r="B32">
        <f>YEAR(data[[#This Row],[Date]])</f>
        <v>2003</v>
      </c>
      <c r="C32" s="6">
        <f t="shared" si="0"/>
        <v>0.06</v>
      </c>
      <c r="D32" s="7">
        <f t="shared" si="1"/>
        <v>-0.26</v>
      </c>
      <c r="E32" s="7">
        <f t="shared" si="2"/>
        <v>0</v>
      </c>
      <c r="F32" s="7">
        <f t="shared" si="8"/>
        <v>0</v>
      </c>
      <c r="G32" s="9">
        <v>4.2700000000000002E-2</v>
      </c>
      <c r="H32" s="15">
        <v>0</v>
      </c>
      <c r="I32" s="7">
        <f t="shared" si="4"/>
        <v>0</v>
      </c>
      <c r="J32" s="7">
        <f t="shared" si="5"/>
        <v>0</v>
      </c>
      <c r="K32" s="8">
        <v>0</v>
      </c>
      <c r="L32" s="8">
        <v>0</v>
      </c>
      <c r="M32" s="8">
        <v>0</v>
      </c>
      <c r="N3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1.4671428571428571E-2</v>
      </c>
      <c r="O3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2.2434559999999999E-2</v>
      </c>
      <c r="P32" s="14" t="str">
        <f>IF(data[[#This Row],[Weighted_Avg]]&lt;&gt;"", IFERROR(AVERAGE(O20,O8,#REF!), ""), "")</f>
        <v/>
      </c>
      <c r="Q32" s="14" t="b">
        <f>IF(data[[#This Row],[Date]]&gt;MAX(data[Date])-750, TRUE, FALSE)</f>
        <v>0</v>
      </c>
      <c r="T32">
        <v>1.4350000000000001</v>
      </c>
    </row>
    <row r="33" spans="1:20">
      <c r="A33" s="4">
        <v>37848</v>
      </c>
      <c r="B33">
        <f>YEAR(data[[#This Row],[Date]])</f>
        <v>2003</v>
      </c>
      <c r="C33" s="6">
        <f t="shared" si="0"/>
        <v>0.05</v>
      </c>
      <c r="D33" s="7">
        <f t="shared" si="1"/>
        <v>-0.26</v>
      </c>
      <c r="E33" s="7">
        <f t="shared" si="2"/>
        <v>0</v>
      </c>
      <c r="F33" s="7">
        <f t="shared" si="8"/>
        <v>0</v>
      </c>
      <c r="G33" s="9">
        <v>3.6600000000000001E-2</v>
      </c>
      <c r="H33" s="15">
        <v>0</v>
      </c>
      <c r="I33" s="7">
        <f t="shared" si="4"/>
        <v>0</v>
      </c>
      <c r="J33" s="7">
        <f t="shared" si="5"/>
        <v>0</v>
      </c>
      <c r="K33" s="8">
        <v>0</v>
      </c>
      <c r="L33" s="8">
        <v>0</v>
      </c>
      <c r="M33" s="8">
        <v>0</v>
      </c>
      <c r="N3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1.2371428571428573E-2</v>
      </c>
      <c r="O3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1.883048E-2</v>
      </c>
      <c r="P33" s="14" t="str">
        <f>IF(data[[#This Row],[Weighted_Avg]]&lt;&gt;"", IFERROR(AVERAGE(O21,O9,#REF!), ""), "")</f>
        <v/>
      </c>
      <c r="Q33" s="14" t="b">
        <f>IF(data[[#This Row],[Date]]&gt;MAX(data[Date])-750, TRUE, FALSE)</f>
        <v>0</v>
      </c>
      <c r="T33">
        <v>1.4870000000000001</v>
      </c>
    </row>
    <row r="34" spans="1:20">
      <c r="A34" s="4">
        <v>37879</v>
      </c>
      <c r="B34">
        <f>YEAR(data[[#This Row],[Date]])</f>
        <v>2003</v>
      </c>
      <c r="C34" s="6">
        <f t="shared" si="0"/>
        <v>0.05</v>
      </c>
      <c r="D34" s="7">
        <f t="shared" si="1"/>
        <v>-0.26</v>
      </c>
      <c r="E34" s="7">
        <f t="shared" si="2"/>
        <v>0</v>
      </c>
      <c r="F34" s="7">
        <f t="shared" si="8"/>
        <v>0</v>
      </c>
      <c r="G34" s="9">
        <v>4.2700000000000002E-2</v>
      </c>
      <c r="H34" s="15">
        <v>0</v>
      </c>
      <c r="I34" s="7">
        <f t="shared" si="4"/>
        <v>0</v>
      </c>
      <c r="J34" s="7">
        <f t="shared" si="5"/>
        <v>0</v>
      </c>
      <c r="K34" s="8">
        <v>0</v>
      </c>
      <c r="L34" s="8">
        <v>0</v>
      </c>
      <c r="M34" s="8">
        <v>0</v>
      </c>
      <c r="N3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1.3242857142857143E-2</v>
      </c>
      <c r="O3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1.9640560000000001E-2</v>
      </c>
      <c r="P34" s="14" t="str">
        <f>IF(data[[#This Row],[Weighted_Avg]]&lt;&gt;"", IFERROR(AVERAGE(O22,O10,#REF!), ""), "")</f>
        <v/>
      </c>
      <c r="Q34" s="14" t="b">
        <f>IF(data[[#This Row],[Date]]&gt;MAX(data[Date])-750, TRUE, FALSE)</f>
        <v>0</v>
      </c>
      <c r="T34">
        <v>1.4670000000000001</v>
      </c>
    </row>
    <row r="35" spans="1:20">
      <c r="A35" s="4">
        <v>37909</v>
      </c>
      <c r="B35">
        <f>YEAR(data[[#This Row],[Date]])</f>
        <v>2003</v>
      </c>
      <c r="C35" s="6">
        <f t="shared" si="0"/>
        <v>0.06</v>
      </c>
      <c r="D35" s="7">
        <f t="shared" si="1"/>
        <v>-0.25</v>
      </c>
      <c r="E35" s="7">
        <f t="shared" si="2"/>
        <v>0</v>
      </c>
      <c r="F35" s="7">
        <f t="shared" si="8"/>
        <v>0</v>
      </c>
      <c r="G35" s="9">
        <v>4.8800000000000003E-2</v>
      </c>
      <c r="H35" s="15">
        <v>0</v>
      </c>
      <c r="I35" s="7">
        <f t="shared" si="4"/>
        <v>0</v>
      </c>
      <c r="J35" s="7">
        <f t="shared" si="5"/>
        <v>0</v>
      </c>
      <c r="K35" s="8">
        <v>0</v>
      </c>
      <c r="L35" s="8">
        <v>0</v>
      </c>
      <c r="M35" s="8">
        <v>0</v>
      </c>
      <c r="N3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1.5542857142857145E-2</v>
      </c>
      <c r="O3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2.3244639999999997E-2</v>
      </c>
      <c r="P35" s="14" t="str">
        <f>IF(data[[#This Row],[Weighted_Avg]]&lt;&gt;"", IFERROR(AVERAGE(O23,O11,#REF!), ""), "")</f>
        <v/>
      </c>
      <c r="Q35" s="14" t="b">
        <f>IF(data[[#This Row],[Date]]&gt;MAX(data[Date])-750, TRUE, FALSE)</f>
        <v>0</v>
      </c>
      <c r="T35">
        <v>1.4810000000000001</v>
      </c>
    </row>
    <row r="36" spans="1:20">
      <c r="A36" s="4">
        <v>37940</v>
      </c>
      <c r="B36">
        <f>YEAR(data[[#This Row],[Date]])</f>
        <v>2003</v>
      </c>
      <c r="C36" s="6">
        <f t="shared" si="0"/>
        <v>0.06</v>
      </c>
      <c r="D36" s="7">
        <f t="shared" si="1"/>
        <v>-0.25</v>
      </c>
      <c r="E36" s="7">
        <f t="shared" si="2"/>
        <v>0</v>
      </c>
      <c r="F36" s="7">
        <f t="shared" si="8"/>
        <v>0</v>
      </c>
      <c r="G36" s="9">
        <v>4.8800000000000003E-2</v>
      </c>
      <c r="H36" s="15">
        <v>0</v>
      </c>
      <c r="I36" s="7">
        <f t="shared" si="4"/>
        <v>0</v>
      </c>
      <c r="J36" s="7">
        <f t="shared" si="5"/>
        <v>0</v>
      </c>
      <c r="K36" s="8">
        <v>0</v>
      </c>
      <c r="L36" s="8">
        <v>0</v>
      </c>
      <c r="M36" s="8">
        <v>0</v>
      </c>
      <c r="N3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1.5542857142857145E-2</v>
      </c>
      <c r="O3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2.3244639999999997E-2</v>
      </c>
      <c r="P36" s="14" t="str">
        <f>IF(data[[#This Row],[Weighted_Avg]]&lt;&gt;"", IFERROR(AVERAGE(O24,O12,#REF!), ""), "")</f>
        <v/>
      </c>
      <c r="Q36" s="14" t="b">
        <f>IF(data[[#This Row],[Date]]&gt;MAX(data[Date])-750, TRUE, FALSE)</f>
        <v>0</v>
      </c>
      <c r="T36">
        <v>1.482</v>
      </c>
    </row>
    <row r="37" spans="1:20">
      <c r="A37" s="4">
        <v>37970</v>
      </c>
      <c r="B37">
        <f>YEAR(data[[#This Row],[Date]])</f>
        <v>2003</v>
      </c>
      <c r="C37" s="6">
        <f t="shared" si="0"/>
        <v>0.06</v>
      </c>
      <c r="D37" s="7">
        <f t="shared" si="1"/>
        <v>-0.25</v>
      </c>
      <c r="E37" s="7">
        <f t="shared" si="2"/>
        <v>0</v>
      </c>
      <c r="F37" s="7">
        <f t="shared" si="8"/>
        <v>0</v>
      </c>
      <c r="G37" s="9">
        <v>4.8800000000000003E-2</v>
      </c>
      <c r="H37" s="15">
        <v>0</v>
      </c>
      <c r="I37" s="7">
        <f t="shared" si="4"/>
        <v>0</v>
      </c>
      <c r="J37" s="7">
        <f t="shared" si="5"/>
        <v>0</v>
      </c>
      <c r="K37" s="8">
        <v>0</v>
      </c>
      <c r="L37" s="8">
        <v>0</v>
      </c>
      <c r="M37" s="8">
        <v>0</v>
      </c>
      <c r="N3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1.5542857142857145E-2</v>
      </c>
      <c r="O3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2.3244639999999997E-2</v>
      </c>
      <c r="P37" s="14">
        <f>IF(data[[#This Row],[Weighted_Avg]]&lt;&gt;"", IFERROR(AVERAGE(O25,O13,O1), ""), "")</f>
        <v>2.2757039999999999E-2</v>
      </c>
      <c r="Q37" s="14" t="b">
        <f>IF(data[[#This Row],[Date]]&gt;MAX(data[Date])-750, TRUE, FALSE)</f>
        <v>0</v>
      </c>
      <c r="T37">
        <v>1.49</v>
      </c>
    </row>
    <row r="38" spans="1:20">
      <c r="A38" s="4">
        <v>38001</v>
      </c>
      <c r="B38">
        <f>YEAR(data[[#This Row],[Date]])</f>
        <v>2004</v>
      </c>
      <c r="C38" s="6">
        <f t="shared" si="0"/>
        <v>0.06</v>
      </c>
      <c r="D38" s="7">
        <f t="shared" si="1"/>
        <v>-0.25</v>
      </c>
      <c r="E38" s="7">
        <f t="shared" si="2"/>
        <v>0</v>
      </c>
      <c r="F38" s="7">
        <f t="shared" si="8"/>
        <v>0</v>
      </c>
      <c r="G38" s="9">
        <v>4.8800000000000003E-2</v>
      </c>
      <c r="H38" s="15">
        <v>0</v>
      </c>
      <c r="I38" s="7">
        <f t="shared" si="4"/>
        <v>0</v>
      </c>
      <c r="J38" s="7">
        <f t="shared" si="5"/>
        <v>0</v>
      </c>
      <c r="K38" s="8">
        <v>0</v>
      </c>
      <c r="L38" s="8">
        <v>0</v>
      </c>
      <c r="M38" s="8">
        <v>0</v>
      </c>
      <c r="N3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1.5542857142857145E-2</v>
      </c>
      <c r="O3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2.485768E-2</v>
      </c>
      <c r="P38" s="14">
        <f>IF(data[[#This Row],[Weighted_Avg]]&lt;&gt;"", IFERROR(AVERAGE(O26,O14,O2), ""), "")</f>
        <v>1.117868E-2</v>
      </c>
      <c r="Q38" s="14" t="b">
        <f>IF(data[[#This Row],[Date]]&gt;MAX(data[Date])-750, TRUE, FALSE)</f>
        <v>0</v>
      </c>
      <c r="T38">
        <v>1.5509999999999999</v>
      </c>
    </row>
    <row r="39" spans="1:20">
      <c r="A39" s="4">
        <v>38032</v>
      </c>
      <c r="B39">
        <f>YEAR(data[[#This Row],[Date]])</f>
        <v>2004</v>
      </c>
      <c r="C39" s="6">
        <f t="shared" si="0"/>
        <v>7.0000000000000007E-2</v>
      </c>
      <c r="D39" s="7">
        <f t="shared" si="1"/>
        <v>-0.25</v>
      </c>
      <c r="E39" s="7">
        <f t="shared" si="2"/>
        <v>0</v>
      </c>
      <c r="F39" s="7">
        <f t="shared" si="8"/>
        <v>0</v>
      </c>
      <c r="G39" s="9">
        <v>5.4899999999999997E-2</v>
      </c>
      <c r="H39" s="15">
        <v>0</v>
      </c>
      <c r="I39" s="7">
        <f t="shared" si="4"/>
        <v>0</v>
      </c>
      <c r="J39" s="7">
        <f t="shared" si="5"/>
        <v>0</v>
      </c>
      <c r="K39" s="8">
        <v>0</v>
      </c>
      <c r="L39" s="8">
        <v>0</v>
      </c>
      <c r="M39" s="8">
        <v>0</v>
      </c>
      <c r="N3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1.7842857142857143E-2</v>
      </c>
      <c r="O3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2.8693390000000003E-2</v>
      </c>
      <c r="P39" s="14">
        <f>IF(data[[#This Row],[Weighted_Avg]]&lt;&gt;"", IFERROR(AVERAGE(O27,O15,O3), ""), "")</f>
        <v>9.4152400000000001E-3</v>
      </c>
      <c r="Q39" s="14" t="b">
        <f>IF(data[[#This Row],[Date]]&gt;MAX(data[Date])-750, TRUE, FALSE)</f>
        <v>0</v>
      </c>
      <c r="T39">
        <v>1.5820000000000001</v>
      </c>
    </row>
    <row r="40" spans="1:20">
      <c r="A40" s="4">
        <v>38061</v>
      </c>
      <c r="B40">
        <f>YEAR(data[[#This Row],[Date]])</f>
        <v>2004</v>
      </c>
      <c r="C40" s="6">
        <f t="shared" si="0"/>
        <v>0.08</v>
      </c>
      <c r="D40" s="7">
        <f t="shared" si="1"/>
        <v>-0.23</v>
      </c>
      <c r="E40" s="7">
        <f t="shared" si="2"/>
        <v>0</v>
      </c>
      <c r="F40" s="7">
        <f t="shared" si="8"/>
        <v>0</v>
      </c>
      <c r="G40" s="9">
        <v>6.7100000000000007E-2</v>
      </c>
      <c r="H40" s="15">
        <v>0</v>
      </c>
      <c r="I40" s="7">
        <f t="shared" si="4"/>
        <v>0</v>
      </c>
      <c r="J40" s="7">
        <f t="shared" si="5"/>
        <v>0</v>
      </c>
      <c r="K40" s="8">
        <v>0</v>
      </c>
      <c r="L40" s="8">
        <v>0</v>
      </c>
      <c r="M40" s="8">
        <v>0</v>
      </c>
      <c r="N4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2.1014285714285715E-2</v>
      </c>
      <c r="O4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3.3450809999999997E-2</v>
      </c>
      <c r="P40" s="14">
        <f>IF(data[[#This Row],[Weighted_Avg]]&lt;&gt;"", IFERROR(AVERAGE(O28,O16,O4), ""), "")</f>
        <v>1.1622319999999998E-2</v>
      </c>
      <c r="Q40" s="14" t="b">
        <f>IF(data[[#This Row],[Date]]&gt;MAX(data[Date])-750, TRUE, FALSE)</f>
        <v>0</v>
      </c>
      <c r="T40">
        <v>1.629</v>
      </c>
    </row>
    <row r="41" spans="1:20">
      <c r="A41" s="4">
        <v>38092</v>
      </c>
      <c r="B41">
        <f>YEAR(data[[#This Row],[Date]])</f>
        <v>2004</v>
      </c>
      <c r="C41" s="6">
        <f t="shared" si="0"/>
        <v>0.09</v>
      </c>
      <c r="D41" s="7">
        <f t="shared" si="1"/>
        <v>-0.22</v>
      </c>
      <c r="E41" s="7">
        <f t="shared" si="2"/>
        <v>0</v>
      </c>
      <c r="F41" s="7">
        <f t="shared" si="8"/>
        <v>0</v>
      </c>
      <c r="G41" s="9">
        <v>7.3200000000000001E-2</v>
      </c>
      <c r="H41" s="15">
        <v>0</v>
      </c>
      <c r="I41" s="7">
        <f t="shared" si="4"/>
        <v>0</v>
      </c>
      <c r="J41" s="7">
        <f t="shared" si="5"/>
        <v>0</v>
      </c>
      <c r="K41" s="8">
        <v>0</v>
      </c>
      <c r="L41" s="8">
        <v>0</v>
      </c>
      <c r="M41" s="8">
        <v>0</v>
      </c>
      <c r="N4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2.3314285714285714E-2</v>
      </c>
      <c r="O4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3.7286520000000004E-2</v>
      </c>
      <c r="P41" s="14">
        <f>IF(data[[#This Row],[Weighted_Avg]]&lt;&gt;"", IFERROR(AVERAGE(O29,O17,O5), ""), "")</f>
        <v>2.103756E-2</v>
      </c>
      <c r="Q41" s="14" t="b">
        <f>IF(data[[#This Row],[Date]]&gt;MAX(data[Date])-750, TRUE, FALSE)</f>
        <v>0</v>
      </c>
      <c r="T41">
        <v>1.6919999999999999</v>
      </c>
    </row>
    <row r="42" spans="1:20">
      <c r="A42" s="4">
        <v>38122</v>
      </c>
      <c r="B42">
        <f>YEAR(data[[#This Row],[Date]])</f>
        <v>2004</v>
      </c>
      <c r="C42" s="6">
        <f t="shared" si="0"/>
        <v>0.1</v>
      </c>
      <c r="D42" s="7">
        <f t="shared" si="1"/>
        <v>-0.21</v>
      </c>
      <c r="E42" s="7">
        <f t="shared" si="2"/>
        <v>0</v>
      </c>
      <c r="F42" s="7">
        <f t="shared" si="8"/>
        <v>0</v>
      </c>
      <c r="G42" s="9">
        <v>7.9299999999999995E-2</v>
      </c>
      <c r="H42" s="15">
        <v>0</v>
      </c>
      <c r="I42" s="7">
        <f t="shared" si="4"/>
        <v>0</v>
      </c>
      <c r="J42" s="7">
        <f t="shared" si="5"/>
        <v>0</v>
      </c>
      <c r="K42" s="8">
        <v>0</v>
      </c>
      <c r="L42" s="8">
        <v>0</v>
      </c>
      <c r="M42" s="8">
        <v>0</v>
      </c>
      <c r="N4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2.5614285714285718E-2</v>
      </c>
      <c r="O4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4.1122229999999996E-2</v>
      </c>
      <c r="P42" s="14">
        <f>IF(data[[#This Row],[Weighted_Avg]]&lt;&gt;"", IFERROR(AVERAGE(O30,O18,O6), ""), "")</f>
        <v>2.3244639999999997E-2</v>
      </c>
      <c r="Q42" s="14" t="b">
        <f>IF(data[[#This Row],[Date]]&gt;MAX(data[Date])-750, TRUE, FALSE)</f>
        <v>0</v>
      </c>
      <c r="T42">
        <v>1.746</v>
      </c>
    </row>
    <row r="43" spans="1:20">
      <c r="A43" s="4">
        <v>38153</v>
      </c>
      <c r="B43">
        <f>YEAR(data[[#This Row],[Date]])</f>
        <v>2004</v>
      </c>
      <c r="C43" s="6">
        <f t="shared" si="0"/>
        <v>0.12</v>
      </c>
      <c r="D43" s="7">
        <f t="shared" si="1"/>
        <v>-0.2</v>
      </c>
      <c r="E43" s="7">
        <f t="shared" si="2"/>
        <v>0</v>
      </c>
      <c r="F43" s="7">
        <f t="shared" si="8"/>
        <v>0</v>
      </c>
      <c r="G43" s="9">
        <v>9.1499999999999998E-2</v>
      </c>
      <c r="H43" s="15">
        <v>0</v>
      </c>
      <c r="I43" s="7">
        <f t="shared" si="4"/>
        <v>0</v>
      </c>
      <c r="J43" s="7">
        <f t="shared" si="5"/>
        <v>0</v>
      </c>
      <c r="K43" s="8">
        <v>0</v>
      </c>
      <c r="L43" s="8">
        <v>0</v>
      </c>
      <c r="M43" s="8">
        <v>0</v>
      </c>
      <c r="N4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3.0214285714285714E-2</v>
      </c>
      <c r="O4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4.8793650000000001E-2</v>
      </c>
      <c r="P43" s="14">
        <f>IF(data[[#This Row],[Weighted_Avg]]&lt;&gt;"", IFERROR(AVERAGE(O31,O19,O7), ""), "")</f>
        <v>1.8753280000000001E-2</v>
      </c>
      <c r="Q43" s="14" t="b">
        <f>IF(data[[#This Row],[Date]]&gt;MAX(data[Date])-750, TRUE, FALSE)</f>
        <v>0</v>
      </c>
      <c r="T43">
        <v>1.7110000000000001</v>
      </c>
    </row>
    <row r="44" spans="1:20">
      <c r="A44" s="4">
        <v>38183</v>
      </c>
      <c r="B44">
        <f>YEAR(data[[#This Row],[Date]])</f>
        <v>2004</v>
      </c>
      <c r="C44" s="6">
        <f t="shared" si="0"/>
        <v>0.13</v>
      </c>
      <c r="D44" s="7">
        <f t="shared" si="1"/>
        <v>-0.18</v>
      </c>
      <c r="E44" s="7">
        <f t="shared" si="2"/>
        <v>0</v>
      </c>
      <c r="F44" s="7">
        <f t="shared" si="8"/>
        <v>0</v>
      </c>
      <c r="G44" s="9">
        <v>0.1037</v>
      </c>
      <c r="H44" s="15">
        <v>0</v>
      </c>
      <c r="I44" s="7">
        <f t="shared" si="4"/>
        <v>0</v>
      </c>
      <c r="J44" s="7">
        <f t="shared" si="5"/>
        <v>0</v>
      </c>
      <c r="K44" s="8">
        <v>0</v>
      </c>
      <c r="L44" s="8">
        <v>0</v>
      </c>
      <c r="M44" s="8">
        <v>0</v>
      </c>
      <c r="N4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3.3385714285714289E-2</v>
      </c>
      <c r="O4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5.3551069999999999E-2</v>
      </c>
      <c r="P44" s="14">
        <f>IF(data[[#This Row],[Weighted_Avg]]&lt;&gt;"", IFERROR(AVERAGE(O32,O20,O8), ""), "")</f>
        <v>1.4744159999999999E-2</v>
      </c>
      <c r="Q44" s="14" t="b">
        <f>IF(data[[#This Row],[Date]]&gt;MAX(data[Date])-750, TRUE, FALSE)</f>
        <v>0</v>
      </c>
      <c r="T44">
        <v>1.7390000000000001</v>
      </c>
    </row>
    <row r="45" spans="1:20">
      <c r="A45" s="4">
        <v>38214</v>
      </c>
      <c r="B45">
        <f>YEAR(data[[#This Row],[Date]])</f>
        <v>2004</v>
      </c>
      <c r="C45" s="6">
        <f t="shared" si="0"/>
        <v>0.12</v>
      </c>
      <c r="D45" s="7">
        <f t="shared" si="1"/>
        <v>-0.19</v>
      </c>
      <c r="E45" s="7">
        <f t="shared" si="2"/>
        <v>0</v>
      </c>
      <c r="F45" s="7">
        <f t="shared" si="8"/>
        <v>0</v>
      </c>
      <c r="G45" s="9">
        <v>9.7600000000000006E-2</v>
      </c>
      <c r="H45" s="15">
        <v>0</v>
      </c>
      <c r="I45" s="7">
        <f t="shared" si="4"/>
        <v>0</v>
      </c>
      <c r="J45" s="7">
        <f t="shared" si="5"/>
        <v>0</v>
      </c>
      <c r="K45" s="8">
        <v>0</v>
      </c>
      <c r="L45" s="8">
        <v>0</v>
      </c>
      <c r="M45" s="8">
        <v>0</v>
      </c>
      <c r="N4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3.1085714285714289E-2</v>
      </c>
      <c r="O4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4.971536E-2</v>
      </c>
      <c r="P45" s="14">
        <f>IF(data[[#This Row],[Weighted_Avg]]&lt;&gt;"", IFERROR(AVERAGE(O33,O21,O9), ""), "")</f>
        <v>1.157762E-2</v>
      </c>
      <c r="Q45" s="14" t="b">
        <f>IF(data[[#This Row],[Date]]&gt;MAX(data[Date])-750, TRUE, FALSE)</f>
        <v>0</v>
      </c>
      <c r="T45">
        <v>1.833</v>
      </c>
    </row>
    <row r="46" spans="1:20">
      <c r="A46" s="4">
        <v>38245</v>
      </c>
      <c r="B46">
        <f>YEAR(data[[#This Row],[Date]])</f>
        <v>2004</v>
      </c>
      <c r="C46" s="6">
        <f t="shared" si="0"/>
        <v>0.13</v>
      </c>
      <c r="D46" s="7">
        <f t="shared" si="1"/>
        <v>-0.19</v>
      </c>
      <c r="E46" s="7">
        <f t="shared" si="2"/>
        <v>0</v>
      </c>
      <c r="F46" s="7">
        <f t="shared" si="8"/>
        <v>0</v>
      </c>
      <c r="G46" s="9">
        <v>0.1037</v>
      </c>
      <c r="H46" s="15">
        <v>0</v>
      </c>
      <c r="I46" s="7">
        <f t="shared" si="4"/>
        <v>0</v>
      </c>
      <c r="J46" s="7">
        <f t="shared" si="5"/>
        <v>0</v>
      </c>
      <c r="K46" s="8">
        <v>0</v>
      </c>
      <c r="L46" s="8">
        <v>0</v>
      </c>
      <c r="M46" s="8">
        <v>0</v>
      </c>
      <c r="N4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3.3385714285714289E-2</v>
      </c>
      <c r="O4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5.3551069999999999E-2</v>
      </c>
      <c r="P46" s="14">
        <f>IF(data[[#This Row],[Weighted_Avg]]&lt;&gt;"", IFERROR(AVERAGE(O34,O22,O10), ""), "")</f>
        <v>1.334716E-2</v>
      </c>
      <c r="Q46" s="14" t="b">
        <f>IF(data[[#This Row],[Date]]&gt;MAX(data[Date])-750, TRUE, FALSE)</f>
        <v>0</v>
      </c>
      <c r="T46">
        <v>1.917</v>
      </c>
    </row>
    <row r="47" spans="1:20">
      <c r="A47" s="4">
        <v>38275</v>
      </c>
      <c r="B47">
        <f>YEAR(data[[#This Row],[Date]])</f>
        <v>2004</v>
      </c>
      <c r="C47" s="6">
        <f t="shared" si="0"/>
        <v>0.15</v>
      </c>
      <c r="D47" s="7">
        <f t="shared" si="1"/>
        <v>-0.16</v>
      </c>
      <c r="E47" s="7">
        <f t="shared" si="2"/>
        <v>0</v>
      </c>
      <c r="F47" s="7">
        <f t="shared" si="8"/>
        <v>0</v>
      </c>
      <c r="G47" s="9">
        <v>0.122</v>
      </c>
      <c r="H47" s="15">
        <v>0</v>
      </c>
      <c r="I47" s="7">
        <f t="shared" si="4"/>
        <v>0</v>
      </c>
      <c r="J47" s="7">
        <f t="shared" si="5"/>
        <v>0</v>
      </c>
      <c r="K47" s="8">
        <v>0</v>
      </c>
      <c r="L47" s="8">
        <v>0</v>
      </c>
      <c r="M47" s="8">
        <v>0</v>
      </c>
      <c r="N4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3.8857142857142861E-2</v>
      </c>
      <c r="O4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6.2144199999999997E-2</v>
      </c>
      <c r="P47" s="14">
        <f>IF(data[[#This Row],[Weighted_Avg]]&lt;&gt;"", IFERROR(AVERAGE(O35,O23,O11), ""), "")</f>
        <v>1.5548139999999998E-2</v>
      </c>
      <c r="Q47" s="14" t="b">
        <f>IF(data[[#This Row],[Date]]&gt;MAX(data[Date])-750, TRUE, FALSE)</f>
        <v>0</v>
      </c>
      <c r="T47">
        <v>2.1339999999999999</v>
      </c>
    </row>
    <row r="48" spans="1:20">
      <c r="A48" s="4">
        <v>38306</v>
      </c>
      <c r="B48">
        <f>YEAR(data[[#This Row],[Date]])</f>
        <v>2004</v>
      </c>
      <c r="C48" s="6">
        <f t="shared" si="0"/>
        <v>0.17</v>
      </c>
      <c r="D48" s="7">
        <f t="shared" si="1"/>
        <v>-0.14000000000000001</v>
      </c>
      <c r="E48" s="7">
        <f t="shared" si="2"/>
        <v>0</v>
      </c>
      <c r="F48" s="7">
        <f t="shared" si="8"/>
        <v>0</v>
      </c>
      <c r="G48" s="9">
        <v>0.14030000000000001</v>
      </c>
      <c r="H48" s="15">
        <v>0</v>
      </c>
      <c r="I48" s="7">
        <f t="shared" si="4"/>
        <v>0</v>
      </c>
      <c r="J48" s="7">
        <f t="shared" si="5"/>
        <v>0</v>
      </c>
      <c r="K48" s="8">
        <v>0</v>
      </c>
      <c r="L48" s="8">
        <v>0</v>
      </c>
      <c r="M48" s="8">
        <v>0</v>
      </c>
      <c r="N4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4.4328571428571432E-2</v>
      </c>
      <c r="O4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7.0737330000000015E-2</v>
      </c>
      <c r="P48" s="14">
        <f>IF(data[[#This Row],[Weighted_Avg]]&lt;&gt;"", IFERROR(AVERAGE(O36,O24,O12), ""), "")</f>
        <v>2.0838459999999996E-2</v>
      </c>
      <c r="Q48" s="14" t="b">
        <f>IF(data[[#This Row],[Date]]&gt;MAX(data[Date])-750, TRUE, FALSE)</f>
        <v>0</v>
      </c>
      <c r="T48">
        <v>2.1469999999999998</v>
      </c>
    </row>
    <row r="49" spans="1:20">
      <c r="A49" s="4">
        <v>38336</v>
      </c>
      <c r="B49">
        <f>YEAR(data[[#This Row],[Date]])</f>
        <v>2004</v>
      </c>
      <c r="C49" s="6">
        <f t="shared" si="0"/>
        <v>0.23</v>
      </c>
      <c r="D49" s="7">
        <f t="shared" si="1"/>
        <v>-0.09</v>
      </c>
      <c r="E49" s="7">
        <f t="shared" si="2"/>
        <v>0</v>
      </c>
      <c r="F49" s="7">
        <f t="shared" si="8"/>
        <v>0</v>
      </c>
      <c r="G49" s="9">
        <v>0.183</v>
      </c>
      <c r="H49" s="15">
        <v>0</v>
      </c>
      <c r="I49" s="7">
        <f>IF(T47&gt;2, ROUNDDOWN((T47-2)/0.04, 0)+1, 0)/100</f>
        <v>0.04</v>
      </c>
      <c r="J49" s="7">
        <f t="shared" si="5"/>
        <v>0</v>
      </c>
      <c r="K49" s="8">
        <v>0</v>
      </c>
      <c r="L49" s="8">
        <v>0</v>
      </c>
      <c r="M49" s="8">
        <v>0</v>
      </c>
      <c r="N4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6.471428571428571E-2</v>
      </c>
      <c r="O4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9.8289299999999996E-2</v>
      </c>
      <c r="P49" s="14">
        <f>IF(data[[#This Row],[Weighted_Avg]]&lt;&gt;"", IFERROR(AVERAGE(O37,O25,O13), ""), "")</f>
        <v>2.3000839999999998E-2</v>
      </c>
      <c r="Q49" s="14" t="b">
        <f>IF(data[[#This Row],[Date]]&gt;MAX(data[Date])-750, TRUE, FALSE)</f>
        <v>0</v>
      </c>
      <c r="R49" s="3">
        <v>0.06</v>
      </c>
      <c r="S49" s="32"/>
      <c r="T49">
        <v>2.0089999999999999</v>
      </c>
    </row>
    <row r="50" spans="1:20">
      <c r="A50" s="4">
        <v>38367</v>
      </c>
      <c r="B50">
        <f>YEAR(data[[#This Row],[Date]])</f>
        <v>2005</v>
      </c>
      <c r="C50" s="6">
        <f t="shared" si="0"/>
        <v>0.23</v>
      </c>
      <c r="D50" s="7">
        <f t="shared" si="1"/>
        <v>-0.08</v>
      </c>
      <c r="E50" s="7">
        <f t="shared" si="2"/>
        <v>0</v>
      </c>
      <c r="F50" s="7">
        <f t="shared" si="8"/>
        <v>0</v>
      </c>
      <c r="G50" s="9">
        <v>0.183</v>
      </c>
      <c r="H50" s="15">
        <v>0</v>
      </c>
      <c r="I50" s="7">
        <f t="shared" si="4"/>
        <v>0.04</v>
      </c>
      <c r="J50" s="7">
        <f t="shared" si="5"/>
        <v>0</v>
      </c>
      <c r="K50" s="8">
        <v>0</v>
      </c>
      <c r="L50" s="8">
        <v>0</v>
      </c>
      <c r="M50" s="8">
        <v>0</v>
      </c>
      <c r="N5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6.471428571428571E-2</v>
      </c>
      <c r="O5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9.9859099999999992E-2</v>
      </c>
      <c r="P50" s="14">
        <f>IF(data[[#This Row],[Weighted_Avg]]&lt;&gt;"", IFERROR(AVERAGE(O38,O26,O14), ""), "")</f>
        <v>1.5738346666666667E-2</v>
      </c>
      <c r="Q50" s="14" t="b">
        <f>IF(data[[#This Row],[Date]]&gt;MAX(data[Date])-750, TRUE, FALSE)</f>
        <v>0</v>
      </c>
      <c r="R50" s="3">
        <v>0.06</v>
      </c>
      <c r="S50" s="3"/>
      <c r="T50">
        <v>1.9590000000000001</v>
      </c>
    </row>
    <row r="51" spans="1:20">
      <c r="A51" s="4">
        <v>38398</v>
      </c>
      <c r="B51">
        <f>YEAR(data[[#This Row],[Date]])</f>
        <v>2005</v>
      </c>
      <c r="C51" s="6">
        <f t="shared" si="0"/>
        <v>0.19</v>
      </c>
      <c r="D51" s="7">
        <f t="shared" si="1"/>
        <v>-0.12</v>
      </c>
      <c r="E51" s="7">
        <f t="shared" si="2"/>
        <v>0</v>
      </c>
      <c r="F51" s="7">
        <f t="shared" si="8"/>
        <v>0</v>
      </c>
      <c r="G51" s="9">
        <v>0.15859999999999999</v>
      </c>
      <c r="H51" s="15">
        <v>0</v>
      </c>
      <c r="I51" s="7">
        <f>IF(T49&gt;2, ROUNDDOWN((T49-2)/0.04, 0)+1, 0)/100</f>
        <v>0.01</v>
      </c>
      <c r="J51" s="7">
        <f t="shared" si="5"/>
        <v>0</v>
      </c>
      <c r="K51" s="8">
        <v>0</v>
      </c>
      <c r="L51" s="8">
        <v>0</v>
      </c>
      <c r="M51" s="8">
        <v>0</v>
      </c>
      <c r="N5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5.1228571428571436E-2</v>
      </c>
      <c r="O5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8.1328819999999996E-2</v>
      </c>
      <c r="P51" s="14">
        <f>IF(data[[#This Row],[Weighted_Avg]]&lt;&gt;"", IFERROR(AVERAGE(O39,O27,O15), ""), "")</f>
        <v>1.5841290000000001E-2</v>
      </c>
      <c r="Q51" s="14" t="b">
        <f>IF(data[[#This Row],[Date]]&gt;MAX(data[Date])-750, TRUE, FALSE)</f>
        <v>0</v>
      </c>
      <c r="R51" s="3">
        <v>0.06</v>
      </c>
      <c r="S51" s="3"/>
      <c r="T51">
        <v>2.0270000000000001</v>
      </c>
    </row>
    <row r="52" spans="1:20">
      <c r="A52" s="4">
        <v>38426</v>
      </c>
      <c r="B52">
        <f>YEAR(data[[#This Row],[Date]])</f>
        <v>2005</v>
      </c>
      <c r="C52" s="6">
        <f t="shared" si="0"/>
        <v>0.18</v>
      </c>
      <c r="D52" s="7">
        <f t="shared" si="1"/>
        <v>-0.13</v>
      </c>
      <c r="E52" s="7">
        <f t="shared" si="2"/>
        <v>0</v>
      </c>
      <c r="F52" s="7">
        <f t="shared" si="8"/>
        <v>0</v>
      </c>
      <c r="G52" s="9">
        <v>0.1464</v>
      </c>
      <c r="H52" s="15">
        <v>0</v>
      </c>
      <c r="I52" s="7">
        <f t="shared" si="4"/>
        <v>0</v>
      </c>
      <c r="J52" s="7">
        <f t="shared" si="5"/>
        <v>0</v>
      </c>
      <c r="K52" s="8">
        <v>0</v>
      </c>
      <c r="L52" s="8">
        <v>0</v>
      </c>
      <c r="M52" s="8">
        <v>0</v>
      </c>
      <c r="N5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4.6628571428571429E-2</v>
      </c>
      <c r="O5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7.5577679999999994E-2</v>
      </c>
      <c r="P52" s="14">
        <f>IF(data[[#This Row],[Weighted_Avg]]&lt;&gt;"", IFERROR(AVERAGE(O40,O28,O16), ""), "")</f>
        <v>1.889848333333333E-2</v>
      </c>
      <c r="Q52" s="14" t="b">
        <f>IF(data[[#This Row],[Date]]&gt;MAX(data[Date])-750, TRUE, FALSE)</f>
        <v>0</v>
      </c>
      <c r="R52" s="3">
        <v>0.05</v>
      </c>
      <c r="S52" s="3"/>
      <c r="T52">
        <v>2.214</v>
      </c>
    </row>
    <row r="53" spans="1:20">
      <c r="A53" s="4">
        <v>38457</v>
      </c>
      <c r="B53">
        <f>YEAR(data[[#This Row],[Date]])</f>
        <v>2005</v>
      </c>
      <c r="C53" s="6">
        <f t="shared" si="0"/>
        <v>0.2</v>
      </c>
      <c r="D53" s="7">
        <f t="shared" si="1"/>
        <v>-0.11</v>
      </c>
      <c r="E53" s="7">
        <f t="shared" si="2"/>
        <v>0</v>
      </c>
      <c r="F53" s="7">
        <f t="shared" si="8"/>
        <v>0</v>
      </c>
      <c r="G53" s="9">
        <v>0.15859999999999999</v>
      </c>
      <c r="H53" s="15">
        <v>0</v>
      </c>
      <c r="I53" s="7">
        <f t="shared" si="4"/>
        <v>0.01</v>
      </c>
      <c r="J53" s="7">
        <f t="shared" si="5"/>
        <v>0</v>
      </c>
      <c r="K53" s="8">
        <v>0</v>
      </c>
      <c r="L53" s="8">
        <v>0</v>
      </c>
      <c r="M53" s="8">
        <v>0</v>
      </c>
      <c r="N5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5.2657142857142861E-2</v>
      </c>
      <c r="O5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8.4358820000000001E-2</v>
      </c>
      <c r="P53" s="14">
        <f>IF(data[[#This Row],[Weighted_Avg]]&lt;&gt;"", IFERROR(AVERAGE(O41,O29,O17), ""), "")</f>
        <v>2.6453880000000003E-2</v>
      </c>
      <c r="Q53" s="14" t="b">
        <f>IF(data[[#This Row],[Date]]&gt;MAX(data[Date])-750, TRUE, FALSE)</f>
        <v>0</v>
      </c>
      <c r="R53" s="3">
        <v>0.05</v>
      </c>
      <c r="S53" s="3"/>
      <c r="T53">
        <v>2.2919999999999998</v>
      </c>
    </row>
    <row r="54" spans="1:20">
      <c r="A54" s="4">
        <v>38487</v>
      </c>
      <c r="B54">
        <f>YEAR(data[[#This Row],[Date]])</f>
        <v>2005</v>
      </c>
      <c r="C54" s="6">
        <f t="shared" si="0"/>
        <v>0.25</v>
      </c>
      <c r="D54" s="7">
        <f t="shared" si="1"/>
        <v>-7.0000000000000007E-2</v>
      </c>
      <c r="E54" s="7">
        <f t="shared" si="2"/>
        <v>0</v>
      </c>
      <c r="F54" s="7">
        <f t="shared" si="8"/>
        <v>0</v>
      </c>
      <c r="G54" s="9">
        <v>0.20130000000000001</v>
      </c>
      <c r="H54" s="15">
        <v>0</v>
      </c>
      <c r="I54" s="7">
        <f t="shared" si="4"/>
        <v>0.06</v>
      </c>
      <c r="J54" s="7">
        <f t="shared" si="5"/>
        <v>0</v>
      </c>
      <c r="K54" s="8">
        <v>0</v>
      </c>
      <c r="L54" s="8">
        <v>0</v>
      </c>
      <c r="M54" s="8">
        <v>0</v>
      </c>
      <c r="N5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7.3042857142857159E-2</v>
      </c>
      <c r="O5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0.11048480999999999</v>
      </c>
      <c r="P54" s="14">
        <f>IF(data[[#This Row],[Weighted_Avg]]&lt;&gt;"", IFERROR(AVERAGE(O42,O30,O18), ""), "")</f>
        <v>2.9203836666666663E-2</v>
      </c>
      <c r="Q54" s="14" t="b">
        <f>IF(data[[#This Row],[Date]]&gt;MAX(data[Date])-750, TRUE, FALSE)</f>
        <v>0</v>
      </c>
      <c r="R54" s="3">
        <v>0.06</v>
      </c>
      <c r="S54" s="3"/>
      <c r="T54">
        <v>2.1989999999999998</v>
      </c>
    </row>
    <row r="55" spans="1:20">
      <c r="A55" s="4">
        <v>38518</v>
      </c>
      <c r="B55">
        <f>YEAR(data[[#This Row],[Date]])</f>
        <v>2005</v>
      </c>
      <c r="C55" s="6">
        <f t="shared" si="0"/>
        <v>0.27</v>
      </c>
      <c r="D55" s="7">
        <f t="shared" si="1"/>
        <v>-0.05</v>
      </c>
      <c r="E55" s="7">
        <f t="shared" si="2"/>
        <v>0</v>
      </c>
      <c r="F55" s="7">
        <f t="shared" si="8"/>
        <v>0</v>
      </c>
      <c r="G55" s="9">
        <v>0.2135</v>
      </c>
      <c r="H55" s="15">
        <v>0.01</v>
      </c>
      <c r="I55" s="7">
        <f t="shared" si="4"/>
        <v>0.08</v>
      </c>
      <c r="J55" s="7">
        <f t="shared" si="5"/>
        <v>0</v>
      </c>
      <c r="K55" s="8">
        <v>0</v>
      </c>
      <c r="L55" s="8">
        <v>0</v>
      </c>
      <c r="M55" s="8">
        <v>0</v>
      </c>
      <c r="N5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8.1928571428571434E-2</v>
      </c>
      <c r="O5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0.12160295</v>
      </c>
      <c r="P55" s="14">
        <f>IF(data[[#This Row],[Weighted_Avg]]&lt;&gt;"", IFERROR(AVERAGE(O43,O31,O19), ""), "")</f>
        <v>2.8766736666666664E-2</v>
      </c>
      <c r="Q55" s="14" t="b">
        <f>IF(data[[#This Row],[Date]]&gt;MAX(data[Date])-750, TRUE, FALSE)</f>
        <v>0</v>
      </c>
      <c r="R55" s="3">
        <v>0.06</v>
      </c>
      <c r="S55" s="3"/>
      <c r="T55">
        <v>2.29</v>
      </c>
    </row>
    <row r="56" spans="1:20">
      <c r="A56" s="4">
        <v>38548</v>
      </c>
      <c r="B56">
        <f>YEAR(data[[#This Row],[Date]])</f>
        <v>2005</v>
      </c>
      <c r="C56" s="6">
        <f t="shared" si="0"/>
        <v>0.24</v>
      </c>
      <c r="D56" s="7">
        <f t="shared" si="1"/>
        <v>-7.0000000000000007E-2</v>
      </c>
      <c r="E56" s="7">
        <f t="shared" si="2"/>
        <v>0</v>
      </c>
      <c r="F56" s="7">
        <f t="shared" si="8"/>
        <v>0</v>
      </c>
      <c r="G56" s="9">
        <v>0.19520000000000001</v>
      </c>
      <c r="H56" s="15">
        <v>0</v>
      </c>
      <c r="I56" s="7">
        <f t="shared" si="4"/>
        <v>0.05</v>
      </c>
      <c r="J56" s="7">
        <f t="shared" si="5"/>
        <v>0</v>
      </c>
      <c r="K56" s="8">
        <v>0</v>
      </c>
      <c r="L56" s="8">
        <v>0</v>
      </c>
      <c r="M56" s="8">
        <v>0</v>
      </c>
      <c r="N5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6.9314285714285717E-2</v>
      </c>
      <c r="O5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0.10561023999999999</v>
      </c>
      <c r="P56" s="14">
        <f>IF(data[[#This Row],[Weighted_Avg]]&lt;&gt;"", IFERROR(AVERAGE(O44,O32,O20), ""), "")</f>
        <v>2.7679796666666662E-2</v>
      </c>
      <c r="Q56" s="14" t="b">
        <f>IF(data[[#This Row],[Date]]&gt;MAX(data[Date])-750, TRUE, FALSE)</f>
        <v>0</v>
      </c>
      <c r="R56" s="3">
        <v>0.06</v>
      </c>
      <c r="S56" s="3"/>
      <c r="T56">
        <v>2.3730000000000002</v>
      </c>
    </row>
    <row r="57" spans="1:20">
      <c r="A57" s="4">
        <v>38579</v>
      </c>
      <c r="B57">
        <f>YEAR(data[[#This Row],[Date]])</f>
        <v>2005</v>
      </c>
      <c r="C57" s="6">
        <f t="shared" si="0"/>
        <v>0.27</v>
      </c>
      <c r="D57" s="7">
        <f t="shared" si="1"/>
        <v>-0.05</v>
      </c>
      <c r="E57" s="7">
        <f t="shared" si="2"/>
        <v>0</v>
      </c>
      <c r="F57" s="7">
        <f t="shared" si="8"/>
        <v>0</v>
      </c>
      <c r="G57" s="9">
        <v>0.2135</v>
      </c>
      <c r="H57" s="15">
        <v>0.01</v>
      </c>
      <c r="I57" s="7">
        <f t="shared" si="4"/>
        <v>0.08</v>
      </c>
      <c r="J57" s="7">
        <f t="shared" si="5"/>
        <v>0</v>
      </c>
      <c r="K57" s="8">
        <v>0</v>
      </c>
      <c r="L57" s="8">
        <v>0</v>
      </c>
      <c r="M57" s="8">
        <v>0</v>
      </c>
      <c r="N5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8.1928571428571434E-2</v>
      </c>
      <c r="O5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0.12160295</v>
      </c>
      <c r="P57" s="14">
        <f>IF(data[[#This Row],[Weighted_Avg]]&lt;&gt;"", IFERROR(AVERAGE(O45,O33,O21), ""), "")</f>
        <v>2.4290199999999998E-2</v>
      </c>
      <c r="Q57" s="14" t="b">
        <f>IF(data[[#This Row],[Date]]&gt;MAX(data[Date])-750, TRUE, FALSE)</f>
        <v>0</v>
      </c>
      <c r="R57" s="3">
        <v>0.06</v>
      </c>
      <c r="S57" s="3"/>
      <c r="T57">
        <v>2.5</v>
      </c>
    </row>
    <row r="58" spans="1:20">
      <c r="A58" s="4">
        <v>38610</v>
      </c>
      <c r="B58">
        <f>YEAR(data[[#This Row],[Date]])</f>
        <v>2005</v>
      </c>
      <c r="C58" s="6">
        <f t="shared" si="0"/>
        <v>0.28999999999999998</v>
      </c>
      <c r="D58" s="7">
        <f t="shared" si="1"/>
        <v>-0.03</v>
      </c>
      <c r="E58" s="7">
        <f t="shared" si="2"/>
        <v>0</v>
      </c>
      <c r="F58" s="7">
        <f t="shared" si="8"/>
        <v>0</v>
      </c>
      <c r="G58" s="9">
        <v>0.23180000000000001</v>
      </c>
      <c r="H58" s="15">
        <v>0.03</v>
      </c>
      <c r="I58" s="7">
        <f t="shared" si="4"/>
        <v>0.1</v>
      </c>
      <c r="J58" s="7">
        <f t="shared" si="5"/>
        <v>0</v>
      </c>
      <c r="K58" s="8">
        <v>0.06</v>
      </c>
      <c r="L58" s="8">
        <v>0</v>
      </c>
      <c r="M58" s="8">
        <v>0.06</v>
      </c>
      <c r="N5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0.11025714285714286</v>
      </c>
      <c r="O5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0.14774665999999997</v>
      </c>
      <c r="P58" s="14">
        <f>IF(data[[#This Row],[Weighted_Avg]]&lt;&gt;"", IFERROR(AVERAGE(O46,O34,O22), ""), "")</f>
        <v>2.6748463333333333E-2</v>
      </c>
      <c r="Q58" s="14" t="b">
        <f>IF(data[[#This Row],[Date]]&gt;MAX(data[Date])-750, TRUE, FALSE)</f>
        <v>0</v>
      </c>
      <c r="R58" s="3">
        <v>0.06</v>
      </c>
      <c r="S58" s="3"/>
      <c r="T58">
        <v>2.819</v>
      </c>
    </row>
    <row r="59" spans="1:20">
      <c r="A59" s="4">
        <v>38640</v>
      </c>
      <c r="B59">
        <f>YEAR(data[[#This Row],[Date]])</f>
        <v>2005</v>
      </c>
      <c r="C59" s="6">
        <f t="shared" si="0"/>
        <v>0.32</v>
      </c>
      <c r="D59" s="7">
        <f t="shared" si="1"/>
        <v>0.01</v>
      </c>
      <c r="E59" s="7">
        <f t="shared" si="2"/>
        <v>0</v>
      </c>
      <c r="F59" s="7">
        <f t="shared" si="8"/>
        <v>0</v>
      </c>
      <c r="G59" s="9">
        <v>0.25619999999999998</v>
      </c>
      <c r="H59" s="15">
        <v>5.5E-2</v>
      </c>
      <c r="I59" s="7">
        <f t="shared" si="4"/>
        <v>0.13</v>
      </c>
      <c r="J59" s="7">
        <f t="shared" si="5"/>
        <v>0</v>
      </c>
      <c r="K59" s="8">
        <v>0.1</v>
      </c>
      <c r="L59" s="8">
        <v>0</v>
      </c>
      <c r="M59" s="8">
        <v>0.09</v>
      </c>
      <c r="N5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0.1358857142857143</v>
      </c>
      <c r="O5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0.17323444000000002</v>
      </c>
      <c r="P59" s="14">
        <f>IF(data[[#This Row],[Weighted_Avg]]&lt;&gt;"", IFERROR(AVERAGE(O47,O35,O23), ""), "")</f>
        <v>3.1080159999999996E-2</v>
      </c>
      <c r="Q59" s="14" t="b">
        <f>IF(data[[#This Row],[Date]]&gt;MAX(data[Date])-750, TRUE, FALSE)</f>
        <v>0</v>
      </c>
      <c r="R59" s="3">
        <v>0.06</v>
      </c>
      <c r="S59" s="3"/>
      <c r="T59">
        <v>3.0950000000000002</v>
      </c>
    </row>
    <row r="60" spans="1:20">
      <c r="A60" s="4">
        <v>38671</v>
      </c>
      <c r="B60">
        <f>YEAR(data[[#This Row],[Date]])</f>
        <v>2005</v>
      </c>
      <c r="C60" s="6">
        <f t="shared" si="0"/>
        <v>0.4</v>
      </c>
      <c r="D60" s="7">
        <f t="shared" si="1"/>
        <v>0.08</v>
      </c>
      <c r="E60" s="7">
        <f t="shared" si="2"/>
        <v>0</v>
      </c>
      <c r="F60" s="7">
        <f t="shared" si="8"/>
        <v>0</v>
      </c>
      <c r="G60" s="9">
        <v>0.32329999999999998</v>
      </c>
      <c r="H60" s="15">
        <v>0.12</v>
      </c>
      <c r="I60" s="7">
        <f t="shared" si="4"/>
        <v>0.21</v>
      </c>
      <c r="J60" s="7">
        <f t="shared" si="5"/>
        <v>0</v>
      </c>
      <c r="K60" s="8">
        <v>0.17</v>
      </c>
      <c r="L60" s="8">
        <v>0</v>
      </c>
      <c r="M60" s="8">
        <v>0.15</v>
      </c>
      <c r="N6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0.19618571428571427</v>
      </c>
      <c r="O6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0.23671420999999998</v>
      </c>
      <c r="P60" s="14">
        <f>IF(data[[#This Row],[Weighted_Avg]]&lt;&gt;"", IFERROR(AVERAGE(O48,O36,O24), ""), "")</f>
        <v>3.7471416666666667E-2</v>
      </c>
      <c r="Q60" s="14" t="b">
        <f>IF(data[[#This Row],[Date]]&gt;MAX(data[Date])-750, TRUE, FALSE)</f>
        <v>0</v>
      </c>
      <c r="R60" s="3">
        <v>0.06</v>
      </c>
      <c r="S60" s="3"/>
      <c r="T60">
        <v>2.573</v>
      </c>
    </row>
    <row r="61" spans="1:20">
      <c r="A61" s="4">
        <v>38701</v>
      </c>
      <c r="B61">
        <f>YEAR(data[[#This Row],[Date]])</f>
        <v>2005</v>
      </c>
      <c r="C61" s="6">
        <f t="shared" si="0"/>
        <v>0.47</v>
      </c>
      <c r="D61" s="7">
        <f t="shared" si="1"/>
        <v>0.15</v>
      </c>
      <c r="E61" s="7">
        <f t="shared" si="2"/>
        <v>0</v>
      </c>
      <c r="F61" s="7">
        <f t="shared" si="8"/>
        <v>0</v>
      </c>
      <c r="G61" s="9">
        <v>0.37819999999999998</v>
      </c>
      <c r="H61" s="15">
        <v>0.18</v>
      </c>
      <c r="I61" s="7">
        <f t="shared" si="4"/>
        <v>0.28000000000000003</v>
      </c>
      <c r="J61" s="7">
        <f t="shared" si="5"/>
        <v>0</v>
      </c>
      <c r="K61" s="8">
        <v>0.24</v>
      </c>
      <c r="L61" s="8">
        <v>0</v>
      </c>
      <c r="M61" s="8">
        <v>0.2</v>
      </c>
      <c r="N6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0.24974285714285713</v>
      </c>
      <c r="O6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0.29180333999999997</v>
      </c>
      <c r="P61" s="14">
        <f>IF(data[[#This Row],[Weighted_Avg]]&lt;&gt;"", IFERROR(AVERAGE(O49,O37,O25), ""), "")</f>
        <v>4.8096993333333331E-2</v>
      </c>
      <c r="Q61" s="14" t="b">
        <f>IF(data[[#This Row],[Date]]&gt;MAX(data[Date])-750, TRUE, FALSE)</f>
        <v>0</v>
      </c>
      <c r="R61" s="3">
        <v>0.06</v>
      </c>
      <c r="S61" s="3"/>
      <c r="T61">
        <v>2.4430000000000001</v>
      </c>
    </row>
    <row r="62" spans="1:20">
      <c r="A62" s="4">
        <v>38732</v>
      </c>
      <c r="B62">
        <f>YEAR(data[[#This Row],[Date]])</f>
        <v>2006</v>
      </c>
      <c r="C62" s="6">
        <f t="shared" si="0"/>
        <v>0.34</v>
      </c>
      <c r="D62" s="7">
        <f t="shared" si="1"/>
        <v>0.02</v>
      </c>
      <c r="E62" s="7">
        <f t="shared" si="2"/>
        <v>0</v>
      </c>
      <c r="F62" s="7">
        <f t="shared" si="8"/>
        <v>0</v>
      </c>
      <c r="G62" s="9">
        <v>0.27450000000000002</v>
      </c>
      <c r="H62" s="15">
        <v>7.0000000000000007E-2</v>
      </c>
      <c r="I62" s="7">
        <f t="shared" si="4"/>
        <v>0.15</v>
      </c>
      <c r="J62" s="7">
        <f t="shared" si="5"/>
        <v>0</v>
      </c>
      <c r="K62" s="8">
        <v>0.11</v>
      </c>
      <c r="L62" s="8">
        <v>0</v>
      </c>
      <c r="M62" s="8">
        <v>0.1</v>
      </c>
      <c r="N6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0.14921428571428574</v>
      </c>
      <c r="O6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0.19146582999999998</v>
      </c>
      <c r="P62" s="14">
        <f>IF(data[[#This Row],[Weighted_Avg]]&lt;&gt;"", IFERROR(AVERAGE(O50,O38,O26), ""), "")</f>
        <v>4.7849086666666672E-2</v>
      </c>
      <c r="Q62" s="14" t="b">
        <f>IF(data[[#This Row],[Date]]&gt;MAX(data[Date])-750, TRUE, FALSE)</f>
        <v>0</v>
      </c>
      <c r="R62" s="3">
        <v>0.06</v>
      </c>
      <c r="S62" s="3"/>
      <c r="T62">
        <v>2.4670000000000001</v>
      </c>
    </row>
    <row r="63" spans="1:20">
      <c r="A63" s="4">
        <v>38763</v>
      </c>
      <c r="B63">
        <f>YEAR(data[[#This Row],[Date]])</f>
        <v>2006</v>
      </c>
      <c r="C63" s="6">
        <f t="shared" si="0"/>
        <v>0.3</v>
      </c>
      <c r="D63" s="7">
        <f t="shared" si="1"/>
        <v>-0.01</v>
      </c>
      <c r="E63" s="7">
        <f t="shared" si="2"/>
        <v>0</v>
      </c>
      <c r="F63" s="7">
        <f t="shared" si="8"/>
        <v>0</v>
      </c>
      <c r="G63" s="9">
        <v>0.24399999999999999</v>
      </c>
      <c r="H63" s="15">
        <v>4.4999999999999998E-2</v>
      </c>
      <c r="I63" s="7">
        <f t="shared" si="4"/>
        <v>0.12</v>
      </c>
      <c r="J63" s="7">
        <f t="shared" si="5"/>
        <v>0</v>
      </c>
      <c r="K63" s="8">
        <v>0.08</v>
      </c>
      <c r="L63" s="8">
        <v>0</v>
      </c>
      <c r="M63" s="8">
        <v>7.0000000000000007E-2</v>
      </c>
      <c r="N6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0.12271428571428571</v>
      </c>
      <c r="O6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0.16204955999999998</v>
      </c>
      <c r="P63" s="14">
        <f>IF(data[[#This Row],[Weighted_Avg]]&lt;&gt;"", IFERROR(AVERAGE(O51,O39,O27), ""), "")</f>
        <v>4.2950896666666662E-2</v>
      </c>
      <c r="Q63" s="14" t="b">
        <f>IF(data[[#This Row],[Date]]&gt;MAX(data[Date])-750, TRUE, FALSE)</f>
        <v>0</v>
      </c>
      <c r="R63" s="3">
        <v>7.0000000000000007E-2</v>
      </c>
      <c r="S63" s="3"/>
      <c r="T63">
        <v>2.4750000000000001</v>
      </c>
    </row>
    <row r="64" spans="1:20">
      <c r="A64" s="4">
        <v>38791</v>
      </c>
      <c r="B64">
        <f>YEAR(data[[#This Row],[Date]])</f>
        <v>2006</v>
      </c>
      <c r="C64" s="6">
        <f t="shared" si="0"/>
        <v>0.31</v>
      </c>
      <c r="D64" s="7">
        <f t="shared" si="1"/>
        <v>0</v>
      </c>
      <c r="E64" s="7">
        <f t="shared" si="2"/>
        <v>0</v>
      </c>
      <c r="F64" s="7">
        <f t="shared" si="8"/>
        <v>0</v>
      </c>
      <c r="G64" s="9">
        <v>0.25009999999999999</v>
      </c>
      <c r="H64" s="15">
        <v>0.05</v>
      </c>
      <c r="I64" s="7">
        <f t="shared" si="4"/>
        <v>0.12</v>
      </c>
      <c r="J64" s="7">
        <f t="shared" si="5"/>
        <v>0</v>
      </c>
      <c r="K64" s="8">
        <v>0.09</v>
      </c>
      <c r="L64" s="8">
        <v>0</v>
      </c>
      <c r="M64" s="8">
        <v>0.08</v>
      </c>
      <c r="N6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0.12858571428571428</v>
      </c>
      <c r="O6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0.16874765399999994</v>
      </c>
      <c r="P64" s="14">
        <f>IF(data[[#This Row],[Weighted_Avg]]&lt;&gt;"", IFERROR(AVERAGE(O52,O40,O28), ""), "")</f>
        <v>4.409104333333333E-2</v>
      </c>
      <c r="Q64" s="14" t="b">
        <f>IF(data[[#This Row],[Date]]&gt;MAX(data[Date])-750, TRUE, FALSE)</f>
        <v>0</v>
      </c>
      <c r="R64" s="3">
        <v>7.0000000000000007E-2</v>
      </c>
      <c r="S64" s="3"/>
      <c r="T64">
        <v>2.5590000000000002</v>
      </c>
    </row>
    <row r="65" spans="1:20">
      <c r="A65" s="4">
        <v>38822</v>
      </c>
      <c r="B65">
        <f>YEAR(data[[#This Row],[Date]])</f>
        <v>2006</v>
      </c>
      <c r="C65" s="6">
        <f t="shared" si="0"/>
        <v>0.31</v>
      </c>
      <c r="D65" s="7">
        <f t="shared" si="1"/>
        <v>0</v>
      </c>
      <c r="E65" s="7">
        <f t="shared" si="2"/>
        <v>0</v>
      </c>
      <c r="F65" s="7">
        <f t="shared" si="8"/>
        <v>0</v>
      </c>
      <c r="G65" s="9">
        <v>0.25009999999999999</v>
      </c>
      <c r="H65" s="15">
        <v>0.05</v>
      </c>
      <c r="I65" s="7">
        <f t="shared" si="4"/>
        <v>0.12</v>
      </c>
      <c r="J65" s="7">
        <f t="shared" si="5"/>
        <v>0</v>
      </c>
      <c r="K65" s="8">
        <v>0.09</v>
      </c>
      <c r="L65" s="8">
        <v>0</v>
      </c>
      <c r="M65" s="8">
        <v>0.08</v>
      </c>
      <c r="N6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0.12858571428571428</v>
      </c>
      <c r="O6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0.16874765399999994</v>
      </c>
      <c r="P65" s="14">
        <f>IF(data[[#This Row],[Weighted_Avg]]&lt;&gt;"", IFERROR(AVERAGE(O53,O41,O29), ""), "")</f>
        <v>5.4573486666666671E-2</v>
      </c>
      <c r="Q65" s="14" t="b">
        <f>IF(data[[#This Row],[Date]]&gt;MAX(data[Date])-750, TRUE, FALSE)</f>
        <v>0</v>
      </c>
      <c r="R65" s="3">
        <v>7.0000000000000007E-2</v>
      </c>
      <c r="S65" s="3"/>
      <c r="T65">
        <v>2.7280000000000002</v>
      </c>
    </row>
    <row r="66" spans="1:20">
      <c r="A66" s="4">
        <v>38852</v>
      </c>
      <c r="B66">
        <f>YEAR(data[[#This Row],[Date]])</f>
        <v>2006</v>
      </c>
      <c r="C66" s="6">
        <f t="shared" si="0"/>
        <v>0.33</v>
      </c>
      <c r="D66" s="7">
        <f t="shared" si="1"/>
        <v>0.02</v>
      </c>
      <c r="E66" s="7">
        <f t="shared" si="2"/>
        <v>0</v>
      </c>
      <c r="F66" s="7">
        <f t="shared" si="8"/>
        <v>0</v>
      </c>
      <c r="G66" s="9">
        <v>0.26840000000000003</v>
      </c>
      <c r="H66" s="15">
        <v>6.5000000000000002E-2</v>
      </c>
      <c r="I66" s="7">
        <f t="shared" si="4"/>
        <v>0.14000000000000001</v>
      </c>
      <c r="J66" s="7">
        <f t="shared" si="5"/>
        <v>0</v>
      </c>
      <c r="K66" s="8">
        <v>0.11</v>
      </c>
      <c r="L66" s="8">
        <v>0</v>
      </c>
      <c r="M66" s="8">
        <v>0.1</v>
      </c>
      <c r="N6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0.14477142857142858</v>
      </c>
      <c r="O6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0.18575723599999999</v>
      </c>
      <c r="P66" s="14">
        <f>IF(data[[#This Row],[Weighted_Avg]]&lt;&gt;"", IFERROR(AVERAGE(O54,O42,O30), ""), "")</f>
        <v>6.603210666666666E-2</v>
      </c>
      <c r="Q66" s="14" t="b">
        <f>IF(data[[#This Row],[Date]]&gt;MAX(data[Date])-750, TRUE, FALSE)</f>
        <v>0</v>
      </c>
      <c r="R66" s="3">
        <v>7.0000000000000007E-2</v>
      </c>
      <c r="S66" s="3"/>
      <c r="T66">
        <v>2.8969999999999998</v>
      </c>
    </row>
    <row r="67" spans="1:20">
      <c r="A67" s="4">
        <v>38883</v>
      </c>
      <c r="B67">
        <f>YEAR(data[[#This Row],[Date]])</f>
        <v>2006</v>
      </c>
      <c r="C67" s="6">
        <f t="shared" si="0"/>
        <v>0.37</v>
      </c>
      <c r="D67" s="7">
        <f t="shared" ref="D67:D124" si="9">IF(T65&gt;2.5,ROUNDDOWN((T65-2.5)/0.04,0)+1,ROUNDUP((T65-2.5)/0.04,0)+1)/100</f>
        <v>0.06</v>
      </c>
      <c r="E67" s="7">
        <f t="shared" si="2"/>
        <v>0</v>
      </c>
      <c r="F67" s="7">
        <f t="shared" si="8"/>
        <v>0</v>
      </c>
      <c r="G67" s="9">
        <v>0.30499999999999999</v>
      </c>
      <c r="H67" s="15">
        <v>0.1</v>
      </c>
      <c r="I67" s="7">
        <f t="shared" si="4"/>
        <v>0.19</v>
      </c>
      <c r="J67" s="7">
        <f t="shared" si="5"/>
        <v>0</v>
      </c>
      <c r="K67" s="8">
        <v>0.15</v>
      </c>
      <c r="L67" s="8">
        <v>0</v>
      </c>
      <c r="M67" s="8">
        <v>0.13</v>
      </c>
      <c r="N6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0.17785714285714288</v>
      </c>
      <c r="O6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0.21967030000000001</v>
      </c>
      <c r="P67" s="14">
        <f>IF(data[[#This Row],[Weighted_Avg]]&lt;&gt;"", IFERROR(AVERAGE(O55,O43,O31), ""), "")</f>
        <v>6.6949800000000004E-2</v>
      </c>
      <c r="Q67" s="14" t="b">
        <f>IF(data[[#This Row],[Date]]&gt;MAX(data[Date])-750, TRUE, FALSE)</f>
        <v>0</v>
      </c>
      <c r="R67" s="3">
        <v>7.0000000000000007E-2</v>
      </c>
      <c r="S67" s="3"/>
      <c r="T67">
        <v>2.8980000000000001</v>
      </c>
    </row>
    <row r="68" spans="1:20">
      <c r="A68" s="4">
        <v>38913</v>
      </c>
      <c r="B68">
        <f>YEAR(data[[#This Row],[Date]])</f>
        <v>2006</v>
      </c>
      <c r="C68" s="6">
        <f t="shared" si="0"/>
        <v>0.42</v>
      </c>
      <c r="D68" s="7">
        <f t="shared" si="9"/>
        <v>0.1</v>
      </c>
      <c r="E68" s="7">
        <f t="shared" ref="E68:E131" si="10">IF(T66&gt;3.25, ROUNDDOWN((T66-3.25)/0.04, 0)+1, 0)/100</f>
        <v>0</v>
      </c>
      <c r="F68" s="7">
        <f t="shared" si="8"/>
        <v>0</v>
      </c>
      <c r="G68" s="9">
        <v>0.33550000000000002</v>
      </c>
      <c r="H68" s="15">
        <v>0.13500000000000001</v>
      </c>
      <c r="I68" s="7">
        <f t="shared" ref="I68:I131" si="11">IF(T66&gt;2, ROUNDDOWN((T66-2)/0.04, 0)+1, 0)/100</f>
        <v>0.23</v>
      </c>
      <c r="J68" s="7">
        <f t="shared" ref="J68:J131" si="12">IF(T66&gt;=3.75, ROUNDDOWN((T66-3.75)/0.04, 0)+1, 0)/100</f>
        <v>0</v>
      </c>
      <c r="K68" s="8">
        <v>0.19</v>
      </c>
      <c r="L68" s="8">
        <v>0</v>
      </c>
      <c r="M68" s="8">
        <v>0.16</v>
      </c>
      <c r="N6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0.21007142857142855</v>
      </c>
      <c r="O6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0.25473586999999998</v>
      </c>
      <c r="P68" s="14">
        <f>IF(data[[#This Row],[Weighted_Avg]]&lt;&gt;"", IFERROR(AVERAGE(O56,O44,O32), ""), "")</f>
        <v>6.0531956666666664E-2</v>
      </c>
      <c r="Q68" s="14" t="b">
        <f>IF(data[[#This Row],[Date]]&gt;MAX(data[Date])-750, TRUE, FALSE)</f>
        <v>0</v>
      </c>
      <c r="R68" s="3">
        <v>7.0000000000000007E-2</v>
      </c>
      <c r="S68" s="3"/>
      <c r="T68">
        <v>2.9340000000000002</v>
      </c>
    </row>
    <row r="69" spans="1:20">
      <c r="A69" s="4">
        <v>38944</v>
      </c>
      <c r="B69">
        <f>YEAR(data[[#This Row],[Date]])</f>
        <v>2006</v>
      </c>
      <c r="C69" s="6">
        <f t="shared" si="0"/>
        <v>0.42</v>
      </c>
      <c r="D69" s="7">
        <f t="shared" si="9"/>
        <v>0.1</v>
      </c>
      <c r="E69" s="7">
        <f t="shared" si="10"/>
        <v>0</v>
      </c>
      <c r="F69" s="7">
        <f t="shared" si="8"/>
        <v>0</v>
      </c>
      <c r="G69" s="9">
        <v>0.33550000000000002</v>
      </c>
      <c r="H69" s="15">
        <v>0.14000000000000001</v>
      </c>
      <c r="I69" s="7">
        <f t="shared" si="11"/>
        <v>0.23</v>
      </c>
      <c r="J69" s="7">
        <f t="shared" si="12"/>
        <v>0</v>
      </c>
      <c r="K69" s="8">
        <v>0.19</v>
      </c>
      <c r="L69" s="8">
        <v>0</v>
      </c>
      <c r="M69" s="8">
        <v>0.16</v>
      </c>
      <c r="N6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0.2107857142857143</v>
      </c>
      <c r="O6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0.25544836999999998</v>
      </c>
      <c r="P69" s="14">
        <f>IF(data[[#This Row],[Weighted_Avg]]&lt;&gt;"", IFERROR(AVERAGE(O57,O45,O33), ""), "")</f>
        <v>6.3382930000000004E-2</v>
      </c>
      <c r="Q69" s="14" t="b">
        <f>IF(data[[#This Row],[Date]]&gt;MAX(data[Date])-750, TRUE, FALSE)</f>
        <v>0</v>
      </c>
      <c r="R69" s="3">
        <v>7.0000000000000007E-2</v>
      </c>
      <c r="S69" s="3"/>
      <c r="T69">
        <v>3.0449999999999999</v>
      </c>
    </row>
    <row r="70" spans="1:20">
      <c r="A70" s="4">
        <v>38975</v>
      </c>
      <c r="B70">
        <f>YEAR(data[[#This Row],[Date]])</f>
        <v>2006</v>
      </c>
      <c r="C70" s="6">
        <f t="shared" ref="C70:C133" si="13">IF(T68&gt;1.25, ROUNDDOWN((T68-1.25)/0.04, 0)+1, 0)/100</f>
        <v>0.43</v>
      </c>
      <c r="D70" s="7">
        <f t="shared" si="9"/>
        <v>0.11</v>
      </c>
      <c r="E70" s="7">
        <f t="shared" si="10"/>
        <v>0</v>
      </c>
      <c r="F70" s="7">
        <f t="shared" si="8"/>
        <v>0</v>
      </c>
      <c r="G70" s="9">
        <v>0.34770000000000001</v>
      </c>
      <c r="H70" s="15">
        <v>0.14499999999999999</v>
      </c>
      <c r="I70" s="7">
        <f t="shared" si="11"/>
        <v>0.24</v>
      </c>
      <c r="J70" s="7">
        <f t="shared" si="12"/>
        <v>0</v>
      </c>
      <c r="K70" s="8">
        <v>0.2</v>
      </c>
      <c r="L70" s="8">
        <v>0</v>
      </c>
      <c r="M70" s="8">
        <v>0.17</v>
      </c>
      <c r="N7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0.21895714285714285</v>
      </c>
      <c r="O7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0.264068258</v>
      </c>
      <c r="P70" s="14">
        <f>IF(data[[#This Row],[Weighted_Avg]]&lt;&gt;"", IFERROR(AVERAGE(O58,O46,O34), ""), "")</f>
        <v>7.3646096666666661E-2</v>
      </c>
      <c r="Q70" s="14" t="b">
        <f>IF(data[[#This Row],[Date]]&gt;MAX(data[Date])-750, TRUE, FALSE)</f>
        <v>0</v>
      </c>
      <c r="R70" s="3">
        <v>7.0000000000000007E-2</v>
      </c>
      <c r="S70" s="3"/>
      <c r="T70">
        <v>2.7829999999999999</v>
      </c>
    </row>
    <row r="71" spans="1:20">
      <c r="A71" s="4">
        <v>39005</v>
      </c>
      <c r="B71">
        <f>YEAR(data[[#This Row],[Date]])</f>
        <v>2006</v>
      </c>
      <c r="C71" s="6">
        <f t="shared" si="13"/>
        <v>0.45</v>
      </c>
      <c r="D71" s="7">
        <f t="shared" si="9"/>
        <v>0.14000000000000001</v>
      </c>
      <c r="E71" s="7">
        <f t="shared" si="10"/>
        <v>0</v>
      </c>
      <c r="F71" s="7">
        <f t="shared" si="8"/>
        <v>0</v>
      </c>
      <c r="G71" s="9">
        <v>0.36599999999999999</v>
      </c>
      <c r="H71" s="15">
        <v>0.17</v>
      </c>
      <c r="I71" s="7">
        <f t="shared" si="11"/>
        <v>0.27</v>
      </c>
      <c r="J71" s="7">
        <f t="shared" si="12"/>
        <v>0</v>
      </c>
      <c r="K71" s="8">
        <v>0.23</v>
      </c>
      <c r="L71" s="8">
        <v>0</v>
      </c>
      <c r="M71" s="8">
        <v>0.19</v>
      </c>
      <c r="N7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0.23942857142857146</v>
      </c>
      <c r="O7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0.28365284000000002</v>
      </c>
      <c r="P71" s="14">
        <f>IF(data[[#This Row],[Weighted_Avg]]&lt;&gt;"", IFERROR(AVERAGE(O59,O47,O35), ""), "")</f>
        <v>8.6207760000000008E-2</v>
      </c>
      <c r="Q71" s="14" t="b">
        <f>IF(data[[#This Row],[Date]]&gt;MAX(data[Date])-750, TRUE, FALSE)</f>
        <v>0</v>
      </c>
      <c r="R71" s="3">
        <v>7.0000000000000007E-2</v>
      </c>
      <c r="S71" s="3"/>
      <c r="T71">
        <v>2.5190000000000001</v>
      </c>
    </row>
    <row r="72" spans="1:20">
      <c r="A72" s="4">
        <v>39036</v>
      </c>
      <c r="B72">
        <f>YEAR(data[[#This Row],[Date]])</f>
        <v>2006</v>
      </c>
      <c r="C72" s="6">
        <f t="shared" si="13"/>
        <v>0.39</v>
      </c>
      <c r="D72" s="7">
        <f t="shared" si="9"/>
        <v>0.08</v>
      </c>
      <c r="E72" s="7">
        <f t="shared" si="10"/>
        <v>0</v>
      </c>
      <c r="F72" s="7">
        <f t="shared" si="8"/>
        <v>0</v>
      </c>
      <c r="G72" s="9">
        <v>0.31719999999999998</v>
      </c>
      <c r="H72" s="15">
        <v>0.12</v>
      </c>
      <c r="I72" s="7">
        <f t="shared" si="11"/>
        <v>0.2</v>
      </c>
      <c r="J72" s="7">
        <f t="shared" si="12"/>
        <v>0</v>
      </c>
      <c r="K72" s="8">
        <v>0.17</v>
      </c>
      <c r="L72" s="8">
        <v>0</v>
      </c>
      <c r="M72" s="8">
        <v>0.14000000000000001</v>
      </c>
      <c r="N7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0.19102857142857146</v>
      </c>
      <c r="O7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0.23367288800000002</v>
      </c>
      <c r="P72" s="14">
        <f>IF(data[[#This Row],[Weighted_Avg]]&lt;&gt;"", IFERROR(AVERAGE(O60,O48,O36), ""), "")</f>
        <v>0.11023205999999998</v>
      </c>
      <c r="Q72" s="14" t="b">
        <f>IF(data[[#This Row],[Date]]&gt;MAX(data[Date])-750, TRUE, FALSE)</f>
        <v>0</v>
      </c>
      <c r="R72" s="3">
        <v>7.0000000000000007E-2</v>
      </c>
      <c r="S72" s="3"/>
      <c r="T72">
        <v>2.5449999999999999</v>
      </c>
    </row>
    <row r="73" spans="1:20">
      <c r="A73" s="4">
        <v>39066</v>
      </c>
      <c r="B73">
        <f>YEAR(data[[#This Row],[Date]])</f>
        <v>2006</v>
      </c>
      <c r="C73" s="6">
        <f t="shared" si="13"/>
        <v>0.32</v>
      </c>
      <c r="D73" s="7">
        <f t="shared" si="9"/>
        <v>0.01</v>
      </c>
      <c r="E73" s="7">
        <f t="shared" si="10"/>
        <v>0</v>
      </c>
      <c r="F73" s="7">
        <f t="shared" si="8"/>
        <v>0</v>
      </c>
      <c r="G73" s="9">
        <v>0.26229999999999998</v>
      </c>
      <c r="H73" s="15">
        <v>0.06</v>
      </c>
      <c r="I73" s="7">
        <f t="shared" si="11"/>
        <v>0.13</v>
      </c>
      <c r="J73" s="7">
        <f t="shared" si="12"/>
        <v>0</v>
      </c>
      <c r="K73" s="8">
        <v>0.1</v>
      </c>
      <c r="L73" s="8">
        <v>0</v>
      </c>
      <c r="M73" s="8">
        <v>0.09</v>
      </c>
      <c r="N7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0.13747142857142858</v>
      </c>
      <c r="O7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0.17808004199999999</v>
      </c>
      <c r="P73" s="14">
        <f>IF(data[[#This Row],[Weighted_Avg]]&lt;&gt;"", IFERROR(AVERAGE(O61,O49,O37), ""), "")</f>
        <v>0.13777909333333332</v>
      </c>
      <c r="Q73" s="14" t="b">
        <f>IF(data[[#This Row],[Date]]&gt;MAX(data[Date])-750, TRUE, FALSE)</f>
        <v>0</v>
      </c>
      <c r="R73" s="3">
        <v>7.0000000000000007E-2</v>
      </c>
      <c r="S73" s="3">
        <v>7.0000000000000007E-2</v>
      </c>
      <c r="T73">
        <v>2.61</v>
      </c>
    </row>
    <row r="74" spans="1:20">
      <c r="A74" s="4">
        <v>39097</v>
      </c>
      <c r="B74">
        <f>YEAR(data[[#This Row],[Date]])</f>
        <v>2007</v>
      </c>
      <c r="C74" s="6">
        <f t="shared" si="13"/>
        <v>0.33</v>
      </c>
      <c r="D74" s="7">
        <f t="shared" si="9"/>
        <v>0.02</v>
      </c>
      <c r="E74" s="7">
        <f t="shared" si="10"/>
        <v>0</v>
      </c>
      <c r="F74" s="7">
        <f t="shared" si="8"/>
        <v>0</v>
      </c>
      <c r="G74" s="9">
        <v>0.26840000000000003</v>
      </c>
      <c r="H74" s="15">
        <v>6.5000000000000002E-2</v>
      </c>
      <c r="I74" s="7">
        <f t="shared" si="11"/>
        <v>0.14000000000000001</v>
      </c>
      <c r="J74" s="7">
        <f t="shared" si="12"/>
        <v>0</v>
      </c>
      <c r="K74" s="8">
        <v>0.11</v>
      </c>
      <c r="L74" s="8">
        <v>0</v>
      </c>
      <c r="M74" s="8">
        <v>0.09</v>
      </c>
      <c r="N7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0.14334285714285716</v>
      </c>
      <c r="O7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0.18617252000000001</v>
      </c>
      <c r="P74" s="14">
        <f>IF(data[[#This Row],[Weighted_Avg]]&lt;&gt;"", IFERROR(AVERAGE(O62,O50,O38), ""), "")</f>
        <v>0.10539420333333333</v>
      </c>
      <c r="Q74" s="14" t="b">
        <f>IF(data[[#This Row],[Date]]&gt;MAX(data[Date])-750, TRUE, FALSE)</f>
        <v>0</v>
      </c>
      <c r="R74" s="3">
        <v>7.0000000000000007E-2</v>
      </c>
      <c r="S74" s="3">
        <v>7.0000000000000007E-2</v>
      </c>
      <c r="T74">
        <v>2.4849999999999999</v>
      </c>
    </row>
    <row r="75" spans="1:20">
      <c r="A75" s="4">
        <v>39128</v>
      </c>
      <c r="B75">
        <f>YEAR(data[[#This Row],[Date]])</f>
        <v>2007</v>
      </c>
      <c r="C75" s="6">
        <f t="shared" si="13"/>
        <v>0.35</v>
      </c>
      <c r="D75" s="7">
        <f t="shared" si="9"/>
        <v>0.03</v>
      </c>
      <c r="E75" s="7">
        <f t="shared" si="10"/>
        <v>0</v>
      </c>
      <c r="F75" s="7">
        <f t="shared" si="8"/>
        <v>0</v>
      </c>
      <c r="G75" s="9">
        <v>0.28060000000000002</v>
      </c>
      <c r="H75" s="15">
        <v>0.08</v>
      </c>
      <c r="I75" s="7">
        <f t="shared" si="11"/>
        <v>0.16</v>
      </c>
      <c r="J75" s="7">
        <f t="shared" si="12"/>
        <v>0</v>
      </c>
      <c r="K75" s="8">
        <v>0.12</v>
      </c>
      <c r="L75" s="8">
        <v>0</v>
      </c>
      <c r="M75" s="8">
        <v>0.11</v>
      </c>
      <c r="N7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0.15722857142857144</v>
      </c>
      <c r="O7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0.20207817999999997</v>
      </c>
      <c r="P75" s="14">
        <f>IF(data[[#This Row],[Weighted_Avg]]&lt;&gt;"", IFERROR(AVERAGE(O63,O51,O39), ""), "")</f>
        <v>9.0690590000000001E-2</v>
      </c>
      <c r="Q75" s="14" t="b">
        <f>IF(data[[#This Row],[Date]]&gt;MAX(data[Date])-750, TRUE, FALSE)</f>
        <v>0</v>
      </c>
      <c r="R75" s="3">
        <v>7.0000000000000007E-2</v>
      </c>
      <c r="S75" s="3">
        <v>7.0000000000000007E-2</v>
      </c>
      <c r="T75">
        <v>2.488</v>
      </c>
    </row>
    <row r="76" spans="1:20">
      <c r="A76" s="4">
        <v>39156</v>
      </c>
      <c r="B76">
        <f>YEAR(data[[#This Row],[Date]])</f>
        <v>2007</v>
      </c>
      <c r="C76" s="6">
        <f t="shared" si="13"/>
        <v>0.31</v>
      </c>
      <c r="D76" s="7">
        <f t="shared" si="9"/>
        <v>0</v>
      </c>
      <c r="E76" s="7">
        <f t="shared" si="10"/>
        <v>0</v>
      </c>
      <c r="F76" s="7">
        <f t="shared" si="8"/>
        <v>0</v>
      </c>
      <c r="G76" s="9">
        <v>0.25619999999999998</v>
      </c>
      <c r="H76" s="15">
        <v>0.05</v>
      </c>
      <c r="I76" s="7">
        <f t="shared" si="11"/>
        <v>0.13</v>
      </c>
      <c r="J76" s="7">
        <f t="shared" si="12"/>
        <v>0</v>
      </c>
      <c r="K76" s="8">
        <v>0.09</v>
      </c>
      <c r="L76" s="8">
        <v>0</v>
      </c>
      <c r="M76" s="8">
        <v>0.08</v>
      </c>
      <c r="N7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0.1308857142857143</v>
      </c>
      <c r="O7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0.17270386000000001</v>
      </c>
      <c r="P76" s="14">
        <f>IF(data[[#This Row],[Weighted_Avg]]&lt;&gt;"", IFERROR(AVERAGE(O64,O52,O40), ""), "")</f>
        <v>9.2592047999999982E-2</v>
      </c>
      <c r="Q76" s="14" t="b">
        <f>IF(data[[#This Row],[Date]]&gt;MAX(data[Date])-750, TRUE, FALSE)</f>
        <v>0</v>
      </c>
      <c r="R76" s="3">
        <v>7.0000000000000007E-2</v>
      </c>
      <c r="S76" s="3">
        <v>7.0000000000000007E-2</v>
      </c>
      <c r="T76">
        <v>2.6669999999999998</v>
      </c>
    </row>
    <row r="77" spans="1:20">
      <c r="A77" s="4">
        <v>39187</v>
      </c>
      <c r="B77">
        <f>YEAR(data[[#This Row],[Date]])</f>
        <v>2007</v>
      </c>
      <c r="C77" s="6">
        <f t="shared" si="13"/>
        <v>0.31</v>
      </c>
      <c r="D77" s="7">
        <f t="shared" si="9"/>
        <v>0</v>
      </c>
      <c r="E77" s="7">
        <f t="shared" si="10"/>
        <v>0</v>
      </c>
      <c r="F77" s="7">
        <f t="shared" si="8"/>
        <v>0</v>
      </c>
      <c r="G77" s="10">
        <v>0.25619999999999998</v>
      </c>
      <c r="H77" s="15">
        <v>5.8500000000000003E-2</v>
      </c>
      <c r="I77" s="7">
        <f t="shared" si="11"/>
        <v>0.13</v>
      </c>
      <c r="J77" s="7">
        <f t="shared" si="12"/>
        <v>0</v>
      </c>
      <c r="K77" s="11">
        <v>0.09</v>
      </c>
      <c r="L77" s="11">
        <v>0</v>
      </c>
      <c r="M77" s="11">
        <v>0.08</v>
      </c>
      <c r="N7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0.1321</v>
      </c>
      <c r="O7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0.17392785999999999</v>
      </c>
      <c r="P77" s="14">
        <f>IF(data[[#This Row],[Weighted_Avg]]&lt;&gt;"", IFERROR(AVERAGE(O65,O53,O41), ""), "")</f>
        <v>9.6797664666666658E-2</v>
      </c>
      <c r="Q77" s="14" t="b">
        <f>IF(data[[#This Row],[Date]]&gt;MAX(data[Date])-750, TRUE, FALSE)</f>
        <v>0</v>
      </c>
      <c r="R77" s="3">
        <v>7.0000000000000007E-2</v>
      </c>
      <c r="S77" s="3">
        <v>7.0000000000000007E-2</v>
      </c>
      <c r="T77">
        <v>2.8340000000000001</v>
      </c>
    </row>
    <row r="78" spans="1:20">
      <c r="A78" s="4">
        <v>39217</v>
      </c>
      <c r="B78">
        <f>YEAR(data[[#This Row],[Date]])</f>
        <v>2007</v>
      </c>
      <c r="C78" s="6">
        <f t="shared" si="13"/>
        <v>0.36</v>
      </c>
      <c r="D78" s="7">
        <f t="shared" si="9"/>
        <v>0.05</v>
      </c>
      <c r="E78" s="7">
        <f t="shared" si="10"/>
        <v>0</v>
      </c>
      <c r="F78" s="7">
        <f t="shared" si="8"/>
        <v>0</v>
      </c>
      <c r="G78" s="10">
        <v>0.2928</v>
      </c>
      <c r="H78" s="15">
        <v>0.1051</v>
      </c>
      <c r="I78" s="7">
        <f t="shared" si="11"/>
        <v>0.17</v>
      </c>
      <c r="J78" s="7">
        <f t="shared" si="12"/>
        <v>0</v>
      </c>
      <c r="K78" s="11">
        <v>0.14000000000000001</v>
      </c>
      <c r="L78" s="11">
        <v>0</v>
      </c>
      <c r="M78" s="11">
        <v>0.12</v>
      </c>
      <c r="N7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0.16969999999999999</v>
      </c>
      <c r="O7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0.21378823999999996</v>
      </c>
      <c r="P78" s="14">
        <f>IF(data[[#This Row],[Weighted_Avg]]&lt;&gt;"", IFERROR(AVERAGE(O66,O54,O42), ""), "")</f>
        <v>0.11245475866666665</v>
      </c>
      <c r="Q78" s="14" t="b">
        <f>IF(data[[#This Row],[Date]]&gt;MAX(data[Date])-750, TRUE, FALSE)</f>
        <v>0</v>
      </c>
      <c r="R78" s="3">
        <v>7.0000000000000007E-2</v>
      </c>
      <c r="S78" s="3">
        <v>7.0000000000000007E-2</v>
      </c>
      <c r="T78">
        <v>2.7959999999999998</v>
      </c>
    </row>
    <row r="79" spans="1:20">
      <c r="A79" s="4">
        <v>39248</v>
      </c>
      <c r="B79">
        <f>YEAR(data[[#This Row],[Date]])</f>
        <v>2007</v>
      </c>
      <c r="C79" s="6">
        <f t="shared" si="13"/>
        <v>0.4</v>
      </c>
      <c r="D79" s="7">
        <f t="shared" si="9"/>
        <v>0.09</v>
      </c>
      <c r="E79" s="7">
        <f t="shared" si="10"/>
        <v>0</v>
      </c>
      <c r="F79" s="7">
        <f t="shared" si="8"/>
        <v>0</v>
      </c>
      <c r="G79" s="10">
        <v>0.32329999999999998</v>
      </c>
      <c r="H79" s="15">
        <v>0.1419</v>
      </c>
      <c r="I79" s="7">
        <f t="shared" si="11"/>
        <v>0.21</v>
      </c>
      <c r="J79" s="7">
        <f t="shared" si="12"/>
        <v>0</v>
      </c>
      <c r="K79" s="7">
        <v>0.18</v>
      </c>
      <c r="L79" s="7">
        <v>0</v>
      </c>
      <c r="M79" s="7">
        <v>0.15</v>
      </c>
      <c r="N7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0.20074285714285714</v>
      </c>
      <c r="O7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0.24614859</v>
      </c>
      <c r="P79" s="14">
        <f>IF(data[[#This Row],[Weighted_Avg]]&lt;&gt;"", IFERROR(AVERAGE(O67,O55,O43), ""), "")</f>
        <v>0.13002230000000001</v>
      </c>
      <c r="Q79" s="14" t="b">
        <f>IF(data[[#This Row],[Date]]&gt;MAX(data[Date])-750, TRUE, FALSE)</f>
        <v>0</v>
      </c>
      <c r="R79" s="3">
        <v>7.0000000000000007E-2</v>
      </c>
      <c r="S79" s="3">
        <v>7.0000000000000007E-2</v>
      </c>
      <c r="T79">
        <v>2.8079999999999998</v>
      </c>
    </row>
    <row r="80" spans="1:20">
      <c r="A80" s="4">
        <v>39278</v>
      </c>
      <c r="B80">
        <f>YEAR(data[[#This Row],[Date]])</f>
        <v>2007</v>
      </c>
      <c r="C80" s="6">
        <f t="shared" si="13"/>
        <v>0.39</v>
      </c>
      <c r="D80" s="7">
        <f t="shared" si="9"/>
        <v>0.08</v>
      </c>
      <c r="E80" s="7">
        <f t="shared" si="10"/>
        <v>0</v>
      </c>
      <c r="F80" s="7">
        <f t="shared" si="8"/>
        <v>0</v>
      </c>
      <c r="G80" s="10">
        <v>0.31719999999999998</v>
      </c>
      <c r="H80" s="15">
        <v>0.12590000000000001</v>
      </c>
      <c r="I80" s="7">
        <f t="shared" si="11"/>
        <v>0.2</v>
      </c>
      <c r="J80" s="7">
        <f t="shared" si="12"/>
        <v>0</v>
      </c>
      <c r="K80" s="7">
        <v>0.17</v>
      </c>
      <c r="L80" s="7">
        <v>0</v>
      </c>
      <c r="M80" s="7">
        <v>0.14000000000000001</v>
      </c>
      <c r="N8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0.19187142857142861</v>
      </c>
      <c r="O8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0.23686975999999998</v>
      </c>
      <c r="P80" s="14">
        <f>IF(data[[#This Row],[Weighted_Avg]]&lt;&gt;"", IFERROR(AVERAGE(O68,O56,O44), ""), "")</f>
        <v>0.13796572666666665</v>
      </c>
      <c r="Q80" s="14" t="b">
        <f>IF(data[[#This Row],[Date]]&gt;MAX(data[Date])-750, TRUE, FALSE)</f>
        <v>0</v>
      </c>
      <c r="R80" s="3">
        <v>7.4999999999999997E-2</v>
      </c>
      <c r="S80" s="3">
        <v>7.0000000000000007E-2</v>
      </c>
      <c r="T80">
        <v>2.8679999999999999</v>
      </c>
    </row>
    <row r="81" spans="1:20">
      <c r="A81" s="4">
        <v>39309</v>
      </c>
      <c r="B81">
        <f>YEAR(data[[#This Row],[Date]])</f>
        <v>2007</v>
      </c>
      <c r="C81" s="6">
        <f t="shared" si="13"/>
        <v>0.39</v>
      </c>
      <c r="D81" s="7">
        <f t="shared" si="9"/>
        <v>0.08</v>
      </c>
      <c r="E81" s="7">
        <f t="shared" si="10"/>
        <v>0</v>
      </c>
      <c r="F81" s="7">
        <f t="shared" si="8"/>
        <v>0</v>
      </c>
      <c r="G81" s="10">
        <v>0.32329999999999998</v>
      </c>
      <c r="H81" s="15">
        <v>0.12790000000000001</v>
      </c>
      <c r="I81" s="7">
        <f t="shared" si="11"/>
        <v>0.21</v>
      </c>
      <c r="J81" s="7">
        <f t="shared" si="12"/>
        <v>0</v>
      </c>
      <c r="K81" s="7">
        <v>0.17</v>
      </c>
      <c r="L81" s="7">
        <v>0</v>
      </c>
      <c r="M81" s="7">
        <v>0.15</v>
      </c>
      <c r="N8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0.19588571428571427</v>
      </c>
      <c r="O8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0.24071559000000001</v>
      </c>
      <c r="P81" s="14">
        <f>IF(data[[#This Row],[Weighted_Avg]]&lt;&gt;"", IFERROR(AVERAGE(O69,O57,O45), ""), "")</f>
        <v>0.14225555999999998</v>
      </c>
      <c r="Q81" s="14" t="b">
        <f>IF(data[[#This Row],[Date]]&gt;MAX(data[Date])-750, TRUE, FALSE)</f>
        <v>0</v>
      </c>
      <c r="R81" s="3">
        <v>7.4999999999999997E-2</v>
      </c>
      <c r="S81" s="3">
        <v>7.0000000000000007E-2</v>
      </c>
      <c r="T81">
        <v>2.8690000000000002</v>
      </c>
    </row>
    <row r="82" spans="1:20">
      <c r="A82" s="4">
        <v>39340</v>
      </c>
      <c r="B82">
        <f>YEAR(data[[#This Row],[Date]])</f>
        <v>2007</v>
      </c>
      <c r="C82" s="6">
        <f t="shared" si="13"/>
        <v>0.41</v>
      </c>
      <c r="D82" s="7">
        <f t="shared" si="9"/>
        <v>0.1</v>
      </c>
      <c r="E82" s="7">
        <f t="shared" si="10"/>
        <v>0</v>
      </c>
      <c r="F82" s="7">
        <f t="shared" si="8"/>
        <v>0</v>
      </c>
      <c r="G82" s="10">
        <v>0.32940000000000003</v>
      </c>
      <c r="H82" s="15">
        <v>0.1366</v>
      </c>
      <c r="I82" s="7">
        <f t="shared" si="11"/>
        <v>0.22</v>
      </c>
      <c r="J82" s="7">
        <f t="shared" si="12"/>
        <v>0</v>
      </c>
      <c r="K82" s="7">
        <v>0.19</v>
      </c>
      <c r="L82" s="7">
        <v>0</v>
      </c>
      <c r="M82" s="7">
        <v>0.16</v>
      </c>
      <c r="N8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0.20657142857142857</v>
      </c>
      <c r="O8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0.25236022000000002</v>
      </c>
      <c r="P82" s="14">
        <f>IF(data[[#This Row],[Weighted_Avg]]&lt;&gt;"", IFERROR(AVERAGE(O70,O58,O46), ""), "")</f>
        <v>0.15512199599999998</v>
      </c>
      <c r="Q82" s="14" t="b">
        <f>IF(data[[#This Row],[Date]]&gt;MAX(data[Date])-750, TRUE, FALSE)</f>
        <v>0</v>
      </c>
      <c r="R82" s="3">
        <v>7.4999999999999997E-2</v>
      </c>
      <c r="S82" s="3">
        <v>7.0000000000000007E-2</v>
      </c>
      <c r="T82">
        <v>2.9529999999999998</v>
      </c>
    </row>
    <row r="83" spans="1:20">
      <c r="A83" s="4">
        <v>39370</v>
      </c>
      <c r="B83">
        <f>YEAR(data[[#This Row],[Date]])</f>
        <v>2007</v>
      </c>
      <c r="C83" s="6">
        <f t="shared" si="13"/>
        <v>0.41</v>
      </c>
      <c r="D83" s="7">
        <f t="shared" si="9"/>
        <v>0.1</v>
      </c>
      <c r="E83" s="7">
        <f t="shared" si="10"/>
        <v>0</v>
      </c>
      <c r="F83" s="7">
        <f t="shared" ref="F83:F146" si="14">IF(T81&gt;3.25, ROUNDDOWN((T81-3.25)/0.05, 0)+1, 0)/100</f>
        <v>0</v>
      </c>
      <c r="G83" s="10">
        <v>0.32940000000000003</v>
      </c>
      <c r="H83" s="15">
        <v>0.13769999999999999</v>
      </c>
      <c r="I83" s="7">
        <f t="shared" si="11"/>
        <v>0.22</v>
      </c>
      <c r="J83" s="7">
        <f t="shared" si="12"/>
        <v>0</v>
      </c>
      <c r="K83" s="7">
        <v>0.19</v>
      </c>
      <c r="L83" s="7">
        <v>0</v>
      </c>
      <c r="M83" s="7">
        <v>0.16</v>
      </c>
      <c r="N8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0.2067285714285714</v>
      </c>
      <c r="O8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0.25251862000000003</v>
      </c>
      <c r="P83" s="14">
        <f>IF(data[[#This Row],[Weighted_Avg]]&lt;&gt;"", IFERROR(AVERAGE(O71,O59,O47), ""), "")</f>
        <v>0.17301049333333332</v>
      </c>
      <c r="Q83" s="14" t="b">
        <f>IF(data[[#This Row],[Date]]&gt;MAX(data[Date])-750, TRUE, FALSE)</f>
        <v>0</v>
      </c>
      <c r="R83" s="3">
        <v>7.4999999999999997E-2</v>
      </c>
      <c r="S83" s="3">
        <v>7.4999999999999997E-2</v>
      </c>
      <c r="T83">
        <v>3.0750000000000002</v>
      </c>
    </row>
    <row r="84" spans="1:20">
      <c r="A84" s="4">
        <v>39401</v>
      </c>
      <c r="B84">
        <f>YEAR(data[[#This Row],[Date]])</f>
        <v>2007</v>
      </c>
      <c r="C84" s="6">
        <f t="shared" si="13"/>
        <v>0.43</v>
      </c>
      <c r="D84" s="7">
        <f t="shared" si="9"/>
        <v>0.12</v>
      </c>
      <c r="E84" s="7">
        <f t="shared" si="10"/>
        <v>0</v>
      </c>
      <c r="F84" s="7">
        <f t="shared" si="14"/>
        <v>0</v>
      </c>
      <c r="G84" s="10">
        <v>0.34770000000000001</v>
      </c>
      <c r="H84" s="15">
        <v>0.1537</v>
      </c>
      <c r="I84" s="7">
        <f t="shared" si="11"/>
        <v>0.24</v>
      </c>
      <c r="J84" s="7">
        <f t="shared" si="12"/>
        <v>0</v>
      </c>
      <c r="K84" s="7">
        <v>0.21</v>
      </c>
      <c r="L84" s="7">
        <v>0</v>
      </c>
      <c r="M84" s="7">
        <v>0.18</v>
      </c>
      <c r="N8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0.22305714285714284</v>
      </c>
      <c r="O8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0.26968911000000001</v>
      </c>
      <c r="P84" s="14">
        <f>IF(data[[#This Row],[Weighted_Avg]]&lt;&gt;"", IFERROR(AVERAGE(O72,O60,O48), ""), "")</f>
        <v>0.18037480933333336</v>
      </c>
      <c r="Q84" s="14" t="b">
        <f>IF(data[[#This Row],[Date]]&gt;MAX(data[Date])-750, TRUE, FALSE)</f>
        <v>0</v>
      </c>
      <c r="R84" s="3">
        <v>7.4999999999999997E-2</v>
      </c>
      <c r="S84" s="3">
        <v>7.4999999999999997E-2</v>
      </c>
      <c r="T84">
        <v>3.3959999999999999</v>
      </c>
    </row>
    <row r="85" spans="1:20">
      <c r="A85" s="4">
        <v>39431</v>
      </c>
      <c r="B85">
        <f>YEAR(data[[#This Row],[Date]])</f>
        <v>2007</v>
      </c>
      <c r="C85" s="6">
        <f t="shared" si="13"/>
        <v>0.46</v>
      </c>
      <c r="D85" s="7">
        <f t="shared" si="9"/>
        <v>0.15</v>
      </c>
      <c r="E85" s="7">
        <f t="shared" si="10"/>
        <v>0</v>
      </c>
      <c r="F85" s="7">
        <f t="shared" si="14"/>
        <v>0</v>
      </c>
      <c r="G85" s="10">
        <v>0.37209999999999999</v>
      </c>
      <c r="H85" s="15">
        <v>0.17499999999999999</v>
      </c>
      <c r="I85" s="7">
        <f t="shared" si="11"/>
        <v>0.27</v>
      </c>
      <c r="J85" s="7">
        <f t="shared" si="12"/>
        <v>0</v>
      </c>
      <c r="K85" s="7">
        <v>0.24</v>
      </c>
      <c r="L85" s="7">
        <v>0</v>
      </c>
      <c r="M85" s="7">
        <v>0.2</v>
      </c>
      <c r="N8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0.24530000000000002</v>
      </c>
      <c r="O8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0.29284262999999999</v>
      </c>
      <c r="P85" s="14">
        <f>IF(data[[#This Row],[Weighted_Avg]]&lt;&gt;"", IFERROR(AVERAGE(O73,O61,O49), ""), "")</f>
        <v>0.18939089399999998</v>
      </c>
      <c r="Q85" s="14" t="b">
        <f>IF(data[[#This Row],[Date]]&gt;MAX(data[Date])-750, TRUE, FALSE)</f>
        <v>0</v>
      </c>
      <c r="R85" s="3">
        <v>7.4999999999999997E-2</v>
      </c>
      <c r="S85" s="3">
        <v>7.4999999999999997E-2</v>
      </c>
      <c r="T85">
        <v>3.3410000000000002</v>
      </c>
    </row>
    <row r="86" spans="1:20">
      <c r="A86" s="4">
        <v>39462</v>
      </c>
      <c r="B86">
        <f>YEAR(data[[#This Row],[Date]])</f>
        <v>2008</v>
      </c>
      <c r="C86" s="6">
        <f t="shared" si="13"/>
        <v>0.54</v>
      </c>
      <c r="D86" s="7">
        <f t="shared" si="9"/>
        <v>0.23</v>
      </c>
      <c r="E86" s="7">
        <f t="shared" si="10"/>
        <v>0.04</v>
      </c>
      <c r="F86" s="7">
        <f t="shared" si="14"/>
        <v>0.03</v>
      </c>
      <c r="G86" s="10">
        <v>0.43919999999999998</v>
      </c>
      <c r="H86" s="15">
        <v>0.24</v>
      </c>
      <c r="I86" s="7">
        <f t="shared" si="11"/>
        <v>0.35</v>
      </c>
      <c r="J86" s="7">
        <f t="shared" si="12"/>
        <v>0</v>
      </c>
      <c r="K86" s="7">
        <v>0.32</v>
      </c>
      <c r="L86" s="7">
        <v>0</v>
      </c>
      <c r="M86" s="7">
        <v>0.26</v>
      </c>
      <c r="N8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0.30702857142857143</v>
      </c>
      <c r="O8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0.35635390591122984</v>
      </c>
      <c r="P86" s="14">
        <f>IF(data[[#This Row],[Weighted_Avg]]&lt;&gt;"", IFERROR(AVERAGE(O74,O62,O50), ""), "")</f>
        <v>0.15916581666666665</v>
      </c>
      <c r="Q86" s="14" t="b">
        <f>IF(data[[#This Row],[Date]]&gt;MAX(data[Date])-750, TRUE, FALSE)</f>
        <v>0</v>
      </c>
      <c r="R86" s="3">
        <v>7.4999999999999997E-2</v>
      </c>
      <c r="S86" s="3">
        <v>7.4999999999999997E-2</v>
      </c>
      <c r="T86">
        <v>3.3079999999999998</v>
      </c>
    </row>
    <row r="87" spans="1:20">
      <c r="A87" s="4">
        <v>39493</v>
      </c>
      <c r="B87">
        <f>YEAR(data[[#This Row],[Date]])</f>
        <v>2008</v>
      </c>
      <c r="C87" s="6">
        <f t="shared" si="13"/>
        <v>0.53</v>
      </c>
      <c r="D87" s="7">
        <f t="shared" si="9"/>
        <v>0.22</v>
      </c>
      <c r="E87" s="7">
        <f t="shared" si="10"/>
        <v>0.03</v>
      </c>
      <c r="F87" s="7">
        <f t="shared" si="14"/>
        <v>0.02</v>
      </c>
      <c r="G87" s="10">
        <v>0.42699999999999999</v>
      </c>
      <c r="H87" s="15">
        <v>0.23</v>
      </c>
      <c r="I87" s="7">
        <f t="shared" si="11"/>
        <v>0.34</v>
      </c>
      <c r="J87" s="7">
        <f t="shared" si="12"/>
        <v>0</v>
      </c>
      <c r="K87" s="7">
        <v>0.31</v>
      </c>
      <c r="L87" s="7">
        <v>0</v>
      </c>
      <c r="M87" s="7">
        <v>0.25</v>
      </c>
      <c r="N8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0.29814285714285715</v>
      </c>
      <c r="O8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0.3470046560150355</v>
      </c>
      <c r="P87" s="14">
        <f>IF(data[[#This Row],[Weighted_Avg]]&lt;&gt;"", IFERROR(AVERAGE(O75,O63,O51), ""), "")</f>
        <v>0.14848551999999995</v>
      </c>
      <c r="Q87" s="14" t="b">
        <f>IF(data[[#This Row],[Date]]&gt;MAX(data[Date])-750, TRUE, FALSE)</f>
        <v>0</v>
      </c>
      <c r="R87" s="3">
        <v>7.4999999999999997E-2</v>
      </c>
      <c r="S87" s="3">
        <v>7.4999999999999997E-2</v>
      </c>
      <c r="T87">
        <v>3.3769999999999998</v>
      </c>
    </row>
    <row r="88" spans="1:20">
      <c r="A88" s="4">
        <v>39522</v>
      </c>
      <c r="B88">
        <f>YEAR(data[[#This Row],[Date]])</f>
        <v>2008</v>
      </c>
      <c r="C88" s="6">
        <f t="shared" si="13"/>
        <v>0.52</v>
      </c>
      <c r="D88" s="7">
        <f t="shared" si="9"/>
        <v>0.21</v>
      </c>
      <c r="E88" s="7">
        <f t="shared" si="10"/>
        <v>0.02</v>
      </c>
      <c r="F88" s="7">
        <f t="shared" si="14"/>
        <v>0.02</v>
      </c>
      <c r="G88" s="10">
        <v>0.4209</v>
      </c>
      <c r="H88" s="15">
        <v>0.22500000000000001</v>
      </c>
      <c r="I88" s="7">
        <f t="shared" si="11"/>
        <v>0.33</v>
      </c>
      <c r="J88" s="7">
        <f t="shared" si="12"/>
        <v>0</v>
      </c>
      <c r="K88" s="7">
        <v>0.3</v>
      </c>
      <c r="L88" s="7">
        <v>0</v>
      </c>
      <c r="M88" s="7">
        <v>0.25</v>
      </c>
      <c r="N8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0.29227142857142863</v>
      </c>
      <c r="O8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0.34111017640637997</v>
      </c>
      <c r="P88" s="14">
        <f>IF(data[[#This Row],[Weighted_Avg]]&lt;&gt;"", IFERROR(AVERAGE(O76,O64,O52), ""), "")</f>
        <v>0.1390097313333333</v>
      </c>
      <c r="Q88" s="14" t="b">
        <f>IF(data[[#This Row],[Date]]&gt;MAX(data[Date])-750, TRUE, FALSE)</f>
        <v>0</v>
      </c>
      <c r="R88" s="3">
        <v>0.08</v>
      </c>
      <c r="S88" s="3">
        <v>7.4999999999999997E-2</v>
      </c>
      <c r="T88">
        <v>3.8809999999999998</v>
      </c>
    </row>
    <row r="89" spans="1:20">
      <c r="A89" s="4">
        <v>39553</v>
      </c>
      <c r="B89">
        <f>YEAR(data[[#This Row],[Date]])</f>
        <v>2008</v>
      </c>
      <c r="C89" s="6">
        <f t="shared" si="13"/>
        <v>0.54</v>
      </c>
      <c r="D89" s="7">
        <f t="shared" si="9"/>
        <v>0.22</v>
      </c>
      <c r="E89" s="7">
        <f t="shared" si="10"/>
        <v>0.04</v>
      </c>
      <c r="F89" s="7">
        <f t="shared" si="14"/>
        <v>0.03</v>
      </c>
      <c r="G89" s="10">
        <v>0.4083</v>
      </c>
      <c r="H89" s="15">
        <v>0.23499999999999999</v>
      </c>
      <c r="I89" s="7">
        <f t="shared" si="11"/>
        <v>0.35</v>
      </c>
      <c r="J89" s="7">
        <f t="shared" si="12"/>
        <v>0</v>
      </c>
      <c r="K89" s="7">
        <v>0.31</v>
      </c>
      <c r="L89" s="7">
        <v>0</v>
      </c>
      <c r="M89" s="7">
        <v>0.26</v>
      </c>
      <c r="N8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0.30047142857142856</v>
      </c>
      <c r="O8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0.35132235956904256</v>
      </c>
      <c r="P89" s="14">
        <f>IF(data[[#This Row],[Weighted_Avg]]&lt;&gt;"", IFERROR(AVERAGE(O77,O65,O53), ""), "")</f>
        <v>0.14234477799999998</v>
      </c>
      <c r="Q89" s="14" t="b">
        <f>IF(data[[#This Row],[Date]]&gt;MAX(data[Date])-750, TRUE, FALSE)</f>
        <v>0</v>
      </c>
      <c r="R89" s="3">
        <v>0.08</v>
      </c>
      <c r="S89" s="3">
        <v>7.4999999999999997E-2</v>
      </c>
      <c r="T89">
        <v>4.0839999999999996</v>
      </c>
    </row>
    <row r="90" spans="1:20">
      <c r="A90" s="4">
        <v>39583</v>
      </c>
      <c r="B90">
        <f>YEAR(data[[#This Row],[Date]])</f>
        <v>2008</v>
      </c>
      <c r="C90" s="6">
        <f t="shared" si="13"/>
        <v>0.66</v>
      </c>
      <c r="D90" s="7">
        <f t="shared" si="9"/>
        <v>0.35</v>
      </c>
      <c r="E90" s="7">
        <f t="shared" si="10"/>
        <v>0.16</v>
      </c>
      <c r="F90" s="7">
        <f t="shared" si="14"/>
        <v>0.13</v>
      </c>
      <c r="G90" s="10">
        <v>0.30480000000000002</v>
      </c>
      <c r="H90" s="15">
        <v>0.34</v>
      </c>
      <c r="I90" s="7">
        <f t="shared" si="11"/>
        <v>0.48</v>
      </c>
      <c r="J90" s="7">
        <f t="shared" si="12"/>
        <v>0.04</v>
      </c>
      <c r="K90" s="7">
        <v>0.44</v>
      </c>
      <c r="L90" s="7">
        <v>0</v>
      </c>
      <c r="M90" s="7">
        <v>0.36</v>
      </c>
      <c r="N9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0.36925714285714284</v>
      </c>
      <c r="O9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0.42596585236245604</v>
      </c>
      <c r="P90" s="14">
        <f>IF(data[[#This Row],[Weighted_Avg]]&lt;&gt;"", IFERROR(AVERAGE(O78,O66,O54), ""), "")</f>
        <v>0.17001009533333331</v>
      </c>
      <c r="Q90" s="14" t="b">
        <f>IF(data[[#This Row],[Date]]&gt;MAX(data[Date])-750, TRUE, FALSE)</f>
        <v>0</v>
      </c>
      <c r="R90" s="3">
        <v>0.08</v>
      </c>
      <c r="S90" s="3">
        <v>7.4999999999999997E-2</v>
      </c>
      <c r="T90">
        <v>4.4249999999999998</v>
      </c>
    </row>
    <row r="91" spans="1:20">
      <c r="A91" s="4">
        <v>39614</v>
      </c>
      <c r="B91">
        <f>YEAR(data[[#This Row],[Date]])</f>
        <v>2008</v>
      </c>
      <c r="C91" s="6">
        <f t="shared" si="13"/>
        <v>0.71</v>
      </c>
      <c r="D91" s="7">
        <f t="shared" si="9"/>
        <v>0.4</v>
      </c>
      <c r="E91" s="7">
        <f t="shared" si="10"/>
        <v>0.21</v>
      </c>
      <c r="F91" s="7">
        <f t="shared" si="14"/>
        <v>0.17</v>
      </c>
      <c r="G91" s="10">
        <v>0.34499999999999997</v>
      </c>
      <c r="H91" s="15">
        <v>0.38500000000000001</v>
      </c>
      <c r="I91" s="7">
        <f t="shared" si="11"/>
        <v>0.53</v>
      </c>
      <c r="J91" s="7">
        <f t="shared" si="12"/>
        <v>0.09</v>
      </c>
      <c r="K91" s="7">
        <v>0.49</v>
      </c>
      <c r="L91" s="7">
        <v>0</v>
      </c>
      <c r="M91" s="7">
        <v>0.4</v>
      </c>
      <c r="N9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0.40857142857142853</v>
      </c>
      <c r="O9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0.46735050258047678</v>
      </c>
      <c r="P91" s="14">
        <f>IF(data[[#This Row],[Weighted_Avg]]&lt;&gt;"", IFERROR(AVERAGE(O79,O67,O55), ""), "")</f>
        <v>0.19580728</v>
      </c>
      <c r="Q91" s="14" t="b">
        <f>IF(data[[#This Row],[Date]]&gt;MAX(data[Date])-750, TRUE, FALSE)</f>
        <v>0</v>
      </c>
      <c r="R91" s="3">
        <v>0.08</v>
      </c>
      <c r="S91" s="3">
        <v>7.4999999999999997E-2</v>
      </c>
      <c r="T91">
        <v>4.6769999999999996</v>
      </c>
    </row>
    <row r="92" spans="1:20">
      <c r="A92" s="4">
        <v>39644</v>
      </c>
      <c r="B92">
        <f>YEAR(data[[#This Row],[Date]])</f>
        <v>2008</v>
      </c>
      <c r="C92" s="6">
        <f t="shared" si="13"/>
        <v>0.8</v>
      </c>
      <c r="D92" s="7">
        <f t="shared" si="9"/>
        <v>0.49</v>
      </c>
      <c r="E92" s="7">
        <f t="shared" si="10"/>
        <v>0.3</v>
      </c>
      <c r="F92" s="7">
        <f t="shared" si="14"/>
        <v>0.24</v>
      </c>
      <c r="G92" s="10">
        <v>0.4083</v>
      </c>
      <c r="H92" s="15">
        <v>0.45500000000000002</v>
      </c>
      <c r="I92" s="7">
        <f t="shared" si="11"/>
        <v>0.61</v>
      </c>
      <c r="J92" s="7">
        <f t="shared" si="12"/>
        <v>0.17</v>
      </c>
      <c r="K92" s="7">
        <v>0.57999999999999996</v>
      </c>
      <c r="L92" s="7">
        <v>0</v>
      </c>
      <c r="M92" s="7">
        <v>0.47</v>
      </c>
      <c r="N9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0.47475714285714282</v>
      </c>
      <c r="O9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0.53774135721458038</v>
      </c>
      <c r="P92" s="14">
        <f>IF(data[[#This Row],[Weighted_Avg]]&lt;&gt;"", IFERROR(AVERAGE(O80,O68,O56), ""), "")</f>
        <v>0.19907195666666666</v>
      </c>
      <c r="Q92" s="14" t="b">
        <f>IF(data[[#This Row],[Date]]&gt;MAX(data[Date])-750, TRUE, FALSE)</f>
        <v>0</v>
      </c>
      <c r="R92" s="3">
        <v>0.08</v>
      </c>
      <c r="S92" s="3">
        <v>7.4999999999999997E-2</v>
      </c>
      <c r="T92">
        <v>4.7030000000000003</v>
      </c>
    </row>
    <row r="93" spans="1:20">
      <c r="A93" s="4">
        <v>39675</v>
      </c>
      <c r="B93">
        <f>YEAR(data[[#This Row],[Date]])</f>
        <v>2008</v>
      </c>
      <c r="C93" s="6">
        <f t="shared" si="13"/>
        <v>0.86</v>
      </c>
      <c r="D93" s="7">
        <f t="shared" si="9"/>
        <v>0.55000000000000004</v>
      </c>
      <c r="E93" s="7">
        <f t="shared" si="10"/>
        <v>0.36</v>
      </c>
      <c r="F93" s="7">
        <f t="shared" si="14"/>
        <v>0.28999999999999998</v>
      </c>
      <c r="G93" s="10">
        <v>0.46</v>
      </c>
      <c r="H93" s="15">
        <v>0.51</v>
      </c>
      <c r="I93" s="7">
        <f t="shared" si="11"/>
        <v>0.67</v>
      </c>
      <c r="J93" s="7">
        <f t="shared" si="12"/>
        <v>0.24</v>
      </c>
      <c r="K93" s="7">
        <v>0.64</v>
      </c>
      <c r="L93" s="7">
        <v>0</v>
      </c>
      <c r="M93" s="7">
        <v>0.52</v>
      </c>
      <c r="N9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0.52285714285714291</v>
      </c>
      <c r="O9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0.5883844559490139</v>
      </c>
      <c r="P93" s="14">
        <f>IF(data[[#This Row],[Weighted_Avg]]&lt;&gt;"", IFERROR(AVERAGE(O81,O69,O57), ""), "")</f>
        <v>0.20592230333333331</v>
      </c>
      <c r="Q93" s="14" t="b">
        <f>IF(data[[#This Row],[Date]]&gt;MAX(data[Date])-750, TRUE, FALSE)</f>
        <v>0</v>
      </c>
      <c r="R93" s="3">
        <v>0.08</v>
      </c>
      <c r="S93" s="3">
        <v>7.4999999999999997E-2</v>
      </c>
      <c r="T93">
        <v>4.3019999999999996</v>
      </c>
    </row>
    <row r="94" spans="1:20">
      <c r="A94" s="4">
        <v>39706</v>
      </c>
      <c r="B94">
        <f>YEAR(data[[#This Row],[Date]])</f>
        <v>2008</v>
      </c>
      <c r="C94" s="6">
        <f t="shared" si="13"/>
        <v>0.87</v>
      </c>
      <c r="D94" s="7">
        <f t="shared" si="9"/>
        <v>0.56000000000000005</v>
      </c>
      <c r="E94" s="7">
        <f t="shared" si="10"/>
        <v>0.37</v>
      </c>
      <c r="F94" s="7">
        <f t="shared" si="14"/>
        <v>0.3</v>
      </c>
      <c r="G94" s="10">
        <v>0.46579999999999999</v>
      </c>
      <c r="H94" s="15">
        <v>0.51500000000000001</v>
      </c>
      <c r="I94" s="7">
        <f t="shared" si="11"/>
        <v>0.68</v>
      </c>
      <c r="J94" s="7">
        <f t="shared" si="12"/>
        <v>0.24</v>
      </c>
      <c r="K94" s="7">
        <v>0.65</v>
      </c>
      <c r="L94" s="7">
        <v>0</v>
      </c>
      <c r="M94" s="7">
        <v>0.53</v>
      </c>
      <c r="N9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0.53011428571428565</v>
      </c>
      <c r="O9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0.59609819395385166</v>
      </c>
      <c r="P94" s="14">
        <f>IF(data[[#This Row],[Weighted_Avg]]&lt;&gt;"", IFERROR(AVERAGE(O82,O70,O58), ""), "")</f>
        <v>0.22139171266666668</v>
      </c>
      <c r="Q94" s="14" t="b">
        <f>IF(data[[#This Row],[Date]]&gt;MAX(data[Date])-750, TRUE, FALSE)</f>
        <v>0</v>
      </c>
      <c r="R94" s="3">
        <v>0.08</v>
      </c>
      <c r="S94" s="3">
        <v>0.08</v>
      </c>
      <c r="T94">
        <v>4.024</v>
      </c>
    </row>
    <row r="95" spans="1:20">
      <c r="A95" s="4">
        <v>39736</v>
      </c>
      <c r="B95">
        <f>YEAR(data[[#This Row],[Date]])</f>
        <v>2008</v>
      </c>
      <c r="C95" s="6">
        <f t="shared" si="13"/>
        <v>0.77</v>
      </c>
      <c r="D95" s="7">
        <f t="shared" si="9"/>
        <v>0.46</v>
      </c>
      <c r="E95" s="7">
        <f t="shared" si="10"/>
        <v>0.27</v>
      </c>
      <c r="F95" s="7">
        <f t="shared" si="14"/>
        <v>0.22</v>
      </c>
      <c r="G95" s="10">
        <v>0.38529999999999998</v>
      </c>
      <c r="H95" s="15">
        <v>0.43</v>
      </c>
      <c r="I95" s="7">
        <f t="shared" si="11"/>
        <v>0.57999999999999996</v>
      </c>
      <c r="J95" s="7">
        <f t="shared" si="12"/>
        <v>0.14000000000000001</v>
      </c>
      <c r="K95" s="7">
        <v>0.55000000000000004</v>
      </c>
      <c r="L95" s="7">
        <v>0</v>
      </c>
      <c r="M95" s="7">
        <v>0.45</v>
      </c>
      <c r="N9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0.4521857142857143</v>
      </c>
      <c r="O9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0.51412124973976692</v>
      </c>
      <c r="P95" s="14">
        <f>IF(data[[#This Row],[Weighted_Avg]]&lt;&gt;"", IFERROR(AVERAGE(O83,O71,O59), ""), "")</f>
        <v>0.23646863333333334</v>
      </c>
      <c r="Q95" s="14" t="b">
        <f>IF(data[[#This Row],[Date]]&gt;MAX(data[Date])-750, TRUE, FALSE)</f>
        <v>0</v>
      </c>
      <c r="R95" s="3">
        <v>0.09</v>
      </c>
      <c r="S95" s="3">
        <v>8.5000000000000006E-2</v>
      </c>
      <c r="T95">
        <v>3.5760000000000001</v>
      </c>
    </row>
    <row r="96" spans="1:20">
      <c r="A96" s="4">
        <v>39767</v>
      </c>
      <c r="B96">
        <f>YEAR(data[[#This Row],[Date]])</f>
        <v>2008</v>
      </c>
      <c r="C96" s="6">
        <f t="shared" si="13"/>
        <v>0.7</v>
      </c>
      <c r="D96" s="7">
        <f t="shared" si="9"/>
        <v>0.39</v>
      </c>
      <c r="E96" s="7">
        <f t="shared" si="10"/>
        <v>0.2</v>
      </c>
      <c r="F96" s="7">
        <f t="shared" si="14"/>
        <v>0.16</v>
      </c>
      <c r="G96" s="10">
        <v>0.33350000000000002</v>
      </c>
      <c r="H96" s="15">
        <v>0.37</v>
      </c>
      <c r="I96" s="7">
        <f t="shared" si="11"/>
        <v>0.51</v>
      </c>
      <c r="J96" s="7">
        <f t="shared" si="12"/>
        <v>7.0000000000000007E-2</v>
      </c>
      <c r="K96" s="7">
        <v>0.48</v>
      </c>
      <c r="L96" s="7">
        <v>0</v>
      </c>
      <c r="M96" s="7">
        <v>0.39</v>
      </c>
      <c r="N9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0.39764285714285724</v>
      </c>
      <c r="O9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0.45650379566443111</v>
      </c>
      <c r="P96" s="14">
        <f>IF(data[[#This Row],[Weighted_Avg]]&lt;&gt;"", IFERROR(AVERAGE(O84,O72,O60), ""), "")</f>
        <v>0.24669206933333335</v>
      </c>
      <c r="Q96" s="14" t="b">
        <f>IF(data[[#This Row],[Date]]&gt;MAX(data[Date])-750, TRUE, FALSE)</f>
        <v>0</v>
      </c>
      <c r="R96" s="3">
        <v>0.1</v>
      </c>
      <c r="S96" s="3">
        <v>8.5000000000000006E-2</v>
      </c>
      <c r="T96">
        <v>2.8759999999999999</v>
      </c>
    </row>
    <row r="97" spans="1:20">
      <c r="A97" s="4">
        <v>39797</v>
      </c>
      <c r="B97">
        <f>YEAR(data[[#This Row],[Date]])</f>
        <v>2008</v>
      </c>
      <c r="C97" s="6">
        <f t="shared" si="13"/>
        <v>0.59</v>
      </c>
      <c r="D97" s="7">
        <f t="shared" si="9"/>
        <v>0.27</v>
      </c>
      <c r="E97" s="7">
        <f t="shared" si="10"/>
        <v>0.09</v>
      </c>
      <c r="F97" s="7">
        <f t="shared" si="14"/>
        <v>7.0000000000000007E-2</v>
      </c>
      <c r="G97" s="10">
        <v>0.24729999999999999</v>
      </c>
      <c r="H97" s="15">
        <v>0.28000000000000003</v>
      </c>
      <c r="I97" s="7">
        <f t="shared" si="11"/>
        <v>0.4</v>
      </c>
      <c r="J97" s="7">
        <f t="shared" si="12"/>
        <v>0</v>
      </c>
      <c r="K97" s="7">
        <v>0.36</v>
      </c>
      <c r="L97" s="7">
        <v>0</v>
      </c>
      <c r="M97" s="7">
        <v>0.3</v>
      </c>
      <c r="N9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0.31104285714285712</v>
      </c>
      <c r="O9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0.36660809891271473</v>
      </c>
      <c r="P97" s="14">
        <f>IF(data[[#This Row],[Weighted_Avg]]&lt;&gt;"", IFERROR(AVERAGE(O85,O73,O61), ""), "")</f>
        <v>0.25424200399999997</v>
      </c>
      <c r="Q97" s="14" t="b">
        <f>IF(data[[#This Row],[Date]]&gt;MAX(data[Date])-750, TRUE, FALSE)</f>
        <v>0</v>
      </c>
      <c r="R97" s="3">
        <v>0.105</v>
      </c>
      <c r="S97" s="3">
        <v>0.09</v>
      </c>
      <c r="T97">
        <v>2.4489999999999998</v>
      </c>
    </row>
    <row r="98" spans="1:20">
      <c r="A98" s="4">
        <v>39828</v>
      </c>
      <c r="B98">
        <f>YEAR(data[[#This Row],[Date]])</f>
        <v>2009</v>
      </c>
      <c r="C98" s="6">
        <f t="shared" si="13"/>
        <v>0.41</v>
      </c>
      <c r="D98" s="7">
        <f t="shared" si="9"/>
        <v>0.1</v>
      </c>
      <c r="E98" s="7">
        <f t="shared" si="10"/>
        <v>0</v>
      </c>
      <c r="F98" s="7">
        <f t="shared" si="14"/>
        <v>0</v>
      </c>
      <c r="G98" s="10">
        <v>0.115</v>
      </c>
      <c r="H98" s="15">
        <f>AVERAGE(0.07,0.035)</f>
        <v>5.2500000000000005E-2</v>
      </c>
      <c r="I98" s="7">
        <f t="shared" si="11"/>
        <v>0.22</v>
      </c>
      <c r="J98" s="7">
        <f t="shared" si="12"/>
        <v>0</v>
      </c>
      <c r="K98" s="7">
        <v>0.19</v>
      </c>
      <c r="L98" s="7">
        <v>0</v>
      </c>
      <c r="M98" s="7">
        <v>0.16</v>
      </c>
      <c r="N9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0.16392857142857142</v>
      </c>
      <c r="O9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0.20343900150211841</v>
      </c>
      <c r="P98" s="14">
        <f>IF(data[[#This Row],[Weighted_Avg]]&lt;&gt;"", IFERROR(AVERAGE(O86,O74,O62), ""), "")</f>
        <v>0.24466408530374328</v>
      </c>
      <c r="Q98" s="14" t="b">
        <f>IF(data[[#This Row],[Date]]&gt;MAX(data[Date])-750, TRUE, FALSE)</f>
        <v>0</v>
      </c>
      <c r="R98" s="3">
        <v>0.11</v>
      </c>
      <c r="S98" s="3">
        <v>0.09</v>
      </c>
      <c r="T98">
        <v>2.2919999999999998</v>
      </c>
    </row>
    <row r="99" spans="1:20">
      <c r="A99" s="4">
        <v>39859</v>
      </c>
      <c r="B99">
        <f>YEAR(data[[#This Row],[Date]])</f>
        <v>2009</v>
      </c>
      <c r="C99" s="6">
        <f t="shared" si="13"/>
        <v>0.3</v>
      </c>
      <c r="D99" s="7">
        <f t="shared" si="9"/>
        <v>-0.01</v>
      </c>
      <c r="E99" s="7">
        <f t="shared" si="10"/>
        <v>0</v>
      </c>
      <c r="F99" s="7">
        <f t="shared" si="14"/>
        <v>0</v>
      </c>
      <c r="G99" s="10">
        <v>2.8799999999999999E-2</v>
      </c>
      <c r="H99" s="15">
        <f>AVERAGE(0.015,0.01)</f>
        <v>1.2500000000000001E-2</v>
      </c>
      <c r="I99" s="7">
        <f t="shared" si="11"/>
        <v>0.12</v>
      </c>
      <c r="J99" s="7">
        <f t="shared" si="12"/>
        <v>0</v>
      </c>
      <c r="K99" s="7">
        <v>0.08</v>
      </c>
      <c r="L99" s="7">
        <v>0</v>
      </c>
      <c r="M99" s="7">
        <v>7.0000000000000007E-2</v>
      </c>
      <c r="N9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8.7328571428571422E-2</v>
      </c>
      <c r="O9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0.12414724921689342</v>
      </c>
      <c r="P99" s="14">
        <f>IF(data[[#This Row],[Weighted_Avg]]&lt;&gt;"", IFERROR(AVERAGE(O87,O75,O63), ""), "")</f>
        <v>0.23704413200501184</v>
      </c>
      <c r="Q99" s="14" t="b">
        <f>IF(data[[#This Row],[Date]]&gt;MAX(data[Date])-750, TRUE, FALSE)</f>
        <v>0</v>
      </c>
      <c r="R99" s="3">
        <v>9.5000000000000001E-2</v>
      </c>
      <c r="S99" s="3">
        <v>9.5000000000000001E-2</v>
      </c>
      <c r="T99">
        <v>2.1949999999999998</v>
      </c>
    </row>
    <row r="100" spans="1:20">
      <c r="A100" s="4">
        <v>39887</v>
      </c>
      <c r="B100">
        <f>YEAR(data[[#This Row],[Date]])</f>
        <v>2009</v>
      </c>
      <c r="C100" s="6">
        <f t="shared" si="13"/>
        <v>0.27</v>
      </c>
      <c r="D100" s="7">
        <f t="shared" si="9"/>
        <v>-0.05</v>
      </c>
      <c r="E100" s="7">
        <f t="shared" si="10"/>
        <v>0</v>
      </c>
      <c r="F100" s="7">
        <f t="shared" si="14"/>
        <v>0</v>
      </c>
      <c r="G100" s="10">
        <v>0</v>
      </c>
      <c r="H100" s="15">
        <f>AVERAGE(0.005,0)</f>
        <v>2.5000000000000001E-3</v>
      </c>
      <c r="I100" s="7">
        <f t="shared" si="11"/>
        <v>0.08</v>
      </c>
      <c r="J100" s="7">
        <f t="shared" si="12"/>
        <v>0</v>
      </c>
      <c r="K100" s="7">
        <v>0</v>
      </c>
      <c r="L100" s="7">
        <v>0</v>
      </c>
      <c r="M100" s="7">
        <v>0</v>
      </c>
      <c r="N10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5.0357142857142864E-2</v>
      </c>
      <c r="O10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9.1841776312545823E-2</v>
      </c>
      <c r="P100" s="14">
        <f>IF(data[[#This Row],[Weighted_Avg]]&lt;&gt;"", IFERROR(AVERAGE(O88,O76,O64), ""), "")</f>
        <v>0.22752056346879332</v>
      </c>
      <c r="Q100" s="14" t="b">
        <f>IF(data[[#This Row],[Date]]&gt;MAX(data[Date])-750, TRUE, FALSE)</f>
        <v>0</v>
      </c>
      <c r="R100" s="3">
        <v>9.5000000000000001E-2</v>
      </c>
      <c r="S100" s="3">
        <v>9.5000000000000001E-2</v>
      </c>
      <c r="T100">
        <v>2.0920000000000001</v>
      </c>
    </row>
    <row r="101" spans="1:20">
      <c r="A101" s="4">
        <v>39918</v>
      </c>
      <c r="B101">
        <f>YEAR(data[[#This Row],[Date]])</f>
        <v>2009</v>
      </c>
      <c r="C101" s="6">
        <f t="shared" si="13"/>
        <v>0.24</v>
      </c>
      <c r="D101" s="7">
        <f t="shared" si="9"/>
        <v>-7.0000000000000007E-2</v>
      </c>
      <c r="E101" s="7">
        <f t="shared" si="10"/>
        <v>0</v>
      </c>
      <c r="F101" s="7">
        <f t="shared" si="14"/>
        <v>0</v>
      </c>
      <c r="G101" s="10">
        <v>0</v>
      </c>
      <c r="H101" s="15">
        <f>AVERAGE(0,0)</f>
        <v>0</v>
      </c>
      <c r="I101" s="7">
        <f t="shared" si="11"/>
        <v>0.05</v>
      </c>
      <c r="J101" s="7">
        <f t="shared" si="12"/>
        <v>0</v>
      </c>
      <c r="K101" s="7">
        <v>0</v>
      </c>
      <c r="L101" s="7">
        <v>0</v>
      </c>
      <c r="M101" s="7">
        <v>0</v>
      </c>
      <c r="N10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4.1428571428571426E-2</v>
      </c>
      <c r="O10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7.9761416264293949E-2</v>
      </c>
      <c r="P101" s="14">
        <f>IF(data[[#This Row],[Weighted_Avg]]&lt;&gt;"", IFERROR(AVERAGE(O89,O77,O65), ""), "")</f>
        <v>0.23133262452301415</v>
      </c>
      <c r="Q101" s="14" t="b">
        <f>IF(data[[#This Row],[Date]]&gt;MAX(data[Date])-750, TRUE, FALSE)</f>
        <v>0</v>
      </c>
      <c r="R101" s="3">
        <v>9.5000000000000001E-2</v>
      </c>
      <c r="S101" s="3">
        <v>9.5000000000000001E-2</v>
      </c>
      <c r="T101">
        <v>2.2200000000000002</v>
      </c>
    </row>
    <row r="102" spans="1:20">
      <c r="A102" s="4">
        <v>39948</v>
      </c>
      <c r="B102">
        <f>YEAR(data[[#This Row],[Date]])</f>
        <v>2009</v>
      </c>
      <c r="C102" s="6">
        <f t="shared" si="13"/>
        <v>0.22</v>
      </c>
      <c r="D102" s="7">
        <f t="shared" si="9"/>
        <v>-0.1</v>
      </c>
      <c r="E102" s="7">
        <f t="shared" si="10"/>
        <v>0</v>
      </c>
      <c r="F102" s="7">
        <f t="shared" si="14"/>
        <v>0</v>
      </c>
      <c r="G102" s="10">
        <v>0</v>
      </c>
      <c r="H102" s="15">
        <f>AVERAGE(0,0)</f>
        <v>0</v>
      </c>
      <c r="I102" s="7">
        <f t="shared" si="11"/>
        <v>0.03</v>
      </c>
      <c r="J102" s="7">
        <f t="shared" si="12"/>
        <v>0</v>
      </c>
      <c r="K102" s="7">
        <v>0</v>
      </c>
      <c r="L102" s="7">
        <v>0</v>
      </c>
      <c r="M102" s="7">
        <v>0</v>
      </c>
      <c r="N10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3.5714285714285712E-2</v>
      </c>
      <c r="O10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7.201891288699272E-2</v>
      </c>
      <c r="P102" s="14">
        <f>IF(data[[#This Row],[Weighted_Avg]]&lt;&gt;"", IFERROR(AVERAGE(O90,O78,O66), ""), "")</f>
        <v>0.27517044278748531</v>
      </c>
      <c r="Q102" s="14" t="b">
        <f>IF(data[[#This Row],[Date]]&gt;MAX(data[Date])-750, TRUE, FALSE)</f>
        <v>0</v>
      </c>
      <c r="R102" s="3">
        <v>9.5000000000000001E-2</v>
      </c>
      <c r="S102" s="3">
        <v>9.5000000000000001E-2</v>
      </c>
      <c r="T102">
        <v>2.2269999999999999</v>
      </c>
    </row>
    <row r="103" spans="1:20">
      <c r="A103" s="4">
        <v>39979</v>
      </c>
      <c r="B103">
        <f>YEAR(data[[#This Row],[Date]])</f>
        <v>2009</v>
      </c>
      <c r="C103" s="6">
        <f t="shared" si="13"/>
        <v>0.25</v>
      </c>
      <c r="D103" s="7">
        <f t="shared" si="9"/>
        <v>-0.06</v>
      </c>
      <c r="E103" s="7">
        <f t="shared" si="10"/>
        <v>0</v>
      </c>
      <c r="F103" s="7">
        <f t="shared" si="14"/>
        <v>0</v>
      </c>
      <c r="G103" s="10">
        <v>0</v>
      </c>
      <c r="H103" s="15">
        <f>AVERAGE(0,0.005)</f>
        <v>2.5000000000000001E-3</v>
      </c>
      <c r="I103" s="7">
        <f t="shared" si="11"/>
        <v>0.06</v>
      </c>
      <c r="J103" s="7">
        <f t="shared" si="12"/>
        <v>0</v>
      </c>
      <c r="K103" s="7">
        <v>0</v>
      </c>
      <c r="L103" s="7">
        <v>0</v>
      </c>
      <c r="M103" s="7">
        <v>0</v>
      </c>
      <c r="N10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4.4642857142857144E-2</v>
      </c>
      <c r="O10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8.4099272935244565E-2</v>
      </c>
      <c r="P103" s="14">
        <f>IF(data[[#This Row],[Weighted_Avg]]&lt;&gt;"", IFERROR(AVERAGE(O91,O79,O67), ""), "")</f>
        <v>0.31105646419349225</v>
      </c>
      <c r="Q103" s="14" t="b">
        <f>IF(data[[#This Row],[Date]]&gt;MAX(data[Date])-750, TRUE, FALSE)</f>
        <v>0</v>
      </c>
      <c r="R103" s="3">
        <v>0.115</v>
      </c>
      <c r="S103" s="3">
        <v>0.115</v>
      </c>
      <c r="T103">
        <v>2.5289999999999999</v>
      </c>
    </row>
    <row r="104" spans="1:20">
      <c r="A104" s="4">
        <v>40009</v>
      </c>
      <c r="B104">
        <f>YEAR(data[[#This Row],[Date]])</f>
        <v>2009</v>
      </c>
      <c r="C104" s="6">
        <f t="shared" si="13"/>
        <v>0.25</v>
      </c>
      <c r="D104" s="7">
        <f t="shared" si="9"/>
        <v>-0.06</v>
      </c>
      <c r="E104" s="7">
        <f t="shared" si="10"/>
        <v>0</v>
      </c>
      <c r="F104" s="7">
        <f t="shared" si="14"/>
        <v>0</v>
      </c>
      <c r="G104" s="10">
        <v>0</v>
      </c>
      <c r="H104" s="15">
        <f>AVERAGE(0.04,0.075)</f>
        <v>5.7499999999999996E-2</v>
      </c>
      <c r="I104" s="7">
        <f t="shared" si="11"/>
        <v>0.06</v>
      </c>
      <c r="J104" s="7">
        <f t="shared" si="12"/>
        <v>0</v>
      </c>
      <c r="K104" s="7">
        <v>0</v>
      </c>
      <c r="L104" s="7">
        <v>0</v>
      </c>
      <c r="M104" s="7">
        <v>0</v>
      </c>
      <c r="N10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5.2499999999999998E-2</v>
      </c>
      <c r="O10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9.4364582545844192E-2</v>
      </c>
      <c r="P104" s="14">
        <f>IF(data[[#This Row],[Weighted_Avg]]&lt;&gt;"", IFERROR(AVERAGE(O92,O80,O68), ""), "")</f>
        <v>0.34311566240486013</v>
      </c>
      <c r="Q104" s="14" t="b">
        <f>IF(data[[#This Row],[Date]]&gt;MAX(data[Date])-750, TRUE, FALSE)</f>
        <v>0</v>
      </c>
      <c r="R104" s="3">
        <v>0.115</v>
      </c>
      <c r="S104" s="3">
        <v>0.115</v>
      </c>
      <c r="T104">
        <v>2.54</v>
      </c>
    </row>
    <row r="105" spans="1:20">
      <c r="A105" s="4">
        <v>40040</v>
      </c>
      <c r="B105">
        <f>YEAR(data[[#This Row],[Date]])</f>
        <v>2009</v>
      </c>
      <c r="C105" s="6">
        <f t="shared" si="13"/>
        <v>0.32</v>
      </c>
      <c r="D105" s="7">
        <f t="shared" si="9"/>
        <v>0.01</v>
      </c>
      <c r="E105" s="7">
        <f t="shared" si="10"/>
        <v>0</v>
      </c>
      <c r="F105" s="7">
        <f t="shared" si="14"/>
        <v>0</v>
      </c>
      <c r="G105" s="10">
        <v>4.5999999999999999E-2</v>
      </c>
      <c r="H105" s="15">
        <f>AVERAGE(0.06,0.075)</f>
        <v>6.7500000000000004E-2</v>
      </c>
      <c r="I105" s="7">
        <f t="shared" si="11"/>
        <v>0.14000000000000001</v>
      </c>
      <c r="J105" s="7">
        <f t="shared" si="12"/>
        <v>0</v>
      </c>
      <c r="K105" s="7">
        <v>0.1</v>
      </c>
      <c r="L105" s="7">
        <v>0</v>
      </c>
      <c r="M105" s="7">
        <v>0.09</v>
      </c>
      <c r="N10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0.10907142857142857</v>
      </c>
      <c r="O10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0.14844290043617311</v>
      </c>
      <c r="P105" s="14">
        <f>IF(data[[#This Row],[Weighted_Avg]]&lt;&gt;"", IFERROR(AVERAGE(O93,O81,O69), ""), "")</f>
        <v>0.36151613864967125</v>
      </c>
      <c r="Q105" s="14" t="b">
        <f>IF(data[[#This Row],[Date]]&gt;MAX(data[Date])-750, TRUE, FALSE)</f>
        <v>0</v>
      </c>
      <c r="R105" s="3">
        <v>0.13</v>
      </c>
      <c r="S105" s="3">
        <v>0.13500000000000001</v>
      </c>
      <c r="T105">
        <v>2.6339999999999999</v>
      </c>
    </row>
    <row r="106" spans="1:20">
      <c r="A106" s="4">
        <v>40071</v>
      </c>
      <c r="B106">
        <f>YEAR(data[[#This Row],[Date]])</f>
        <v>2009</v>
      </c>
      <c r="C106" s="6">
        <f t="shared" si="13"/>
        <v>0.33</v>
      </c>
      <c r="D106" s="7">
        <f t="shared" si="9"/>
        <v>0.02</v>
      </c>
      <c r="E106" s="7">
        <f t="shared" si="10"/>
        <v>0</v>
      </c>
      <c r="F106" s="7">
        <f t="shared" si="14"/>
        <v>0</v>
      </c>
      <c r="G106" s="10">
        <v>5.1799999999999999E-2</v>
      </c>
      <c r="H106" s="15">
        <f>AVERAGE(0.075,0.09)</f>
        <v>8.249999999999999E-2</v>
      </c>
      <c r="I106" s="7">
        <f t="shared" si="11"/>
        <v>0.14000000000000001</v>
      </c>
      <c r="J106" s="7">
        <f t="shared" si="12"/>
        <v>0</v>
      </c>
      <c r="K106" s="7">
        <v>0.11</v>
      </c>
      <c r="L106" s="7">
        <v>0</v>
      </c>
      <c r="M106" s="7">
        <v>0.09</v>
      </c>
      <c r="N10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0.1149</v>
      </c>
      <c r="O10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0.15542483412602676</v>
      </c>
      <c r="P106" s="14">
        <f>IF(data[[#This Row],[Weighted_Avg]]&lt;&gt;"", IFERROR(AVERAGE(O94,O82,O70), ""), "")</f>
        <v>0.37084222398461719</v>
      </c>
      <c r="Q106" s="14" t="b">
        <f>IF(data[[#This Row],[Date]]&gt;MAX(data[Date])-750, TRUE, FALSE)</f>
        <v>0</v>
      </c>
      <c r="R106" s="3">
        <v>0.13</v>
      </c>
      <c r="S106" s="3">
        <v>0.13500000000000001</v>
      </c>
      <c r="T106">
        <v>2.6259999999999999</v>
      </c>
    </row>
    <row r="107" spans="1:20">
      <c r="A107" s="4">
        <v>40101</v>
      </c>
      <c r="B107">
        <f>YEAR(data[[#This Row],[Date]])</f>
        <v>2009</v>
      </c>
      <c r="C107" s="6">
        <f t="shared" si="13"/>
        <v>0.35</v>
      </c>
      <c r="D107" s="7">
        <f t="shared" si="9"/>
        <v>0.04</v>
      </c>
      <c r="E107" s="7">
        <f t="shared" si="10"/>
        <v>0</v>
      </c>
      <c r="F107" s="7">
        <f t="shared" si="14"/>
        <v>0</v>
      </c>
      <c r="G107" s="10">
        <v>6.9000000000000006E-2</v>
      </c>
      <c r="H107" s="15">
        <f>AVERAGE(0.09,0.08)</f>
        <v>8.4999999999999992E-2</v>
      </c>
      <c r="I107" s="7">
        <f t="shared" si="11"/>
        <v>0.16</v>
      </c>
      <c r="J107" s="7">
        <f t="shared" si="12"/>
        <v>0</v>
      </c>
      <c r="K107" s="7">
        <v>0.13</v>
      </c>
      <c r="L107" s="7">
        <v>0</v>
      </c>
      <c r="M107" s="7">
        <v>0.11</v>
      </c>
      <c r="N10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0.12914285714285714</v>
      </c>
      <c r="O10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0.16992178071700681</v>
      </c>
      <c r="P107" s="14">
        <f>IF(data[[#This Row],[Weighted_Avg]]&lt;&gt;"", IFERROR(AVERAGE(O95,O83,O71), ""), "")</f>
        <v>0.35009756991325564</v>
      </c>
      <c r="Q107" s="14" t="b">
        <f>IF(data[[#This Row],[Date]]&gt;MAX(data[Date])-750, TRUE, FALSE)</f>
        <v>0</v>
      </c>
      <c r="R107" s="3">
        <v>0.13500000000000001</v>
      </c>
      <c r="S107" s="3">
        <v>0.14000000000000001</v>
      </c>
      <c r="T107">
        <v>2.6720000000000002</v>
      </c>
    </row>
    <row r="108" spans="1:20">
      <c r="A108" s="4">
        <v>40132</v>
      </c>
      <c r="B108">
        <f>YEAR(data[[#This Row],[Date]])</f>
        <v>2009</v>
      </c>
      <c r="C108" s="6">
        <f t="shared" si="13"/>
        <v>0.35</v>
      </c>
      <c r="D108" s="7">
        <f t="shared" si="9"/>
        <v>0.04</v>
      </c>
      <c r="E108" s="7">
        <f t="shared" si="10"/>
        <v>0</v>
      </c>
      <c r="F108" s="7">
        <f t="shared" si="14"/>
        <v>0</v>
      </c>
      <c r="G108" s="10">
        <v>6.3299999999999995E-2</v>
      </c>
      <c r="H108" s="15">
        <f>AVERAGE(0.075,0.095)</f>
        <v>8.4999999999999992E-2</v>
      </c>
      <c r="I108" s="7">
        <f t="shared" si="11"/>
        <v>0.16</v>
      </c>
      <c r="J108" s="7">
        <f t="shared" si="12"/>
        <v>0</v>
      </c>
      <c r="K108" s="7">
        <v>0.13</v>
      </c>
      <c r="L108" s="7">
        <v>0</v>
      </c>
      <c r="M108" s="7">
        <v>0.11</v>
      </c>
      <c r="N10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0.12832857142857143</v>
      </c>
      <c r="O10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0.16917445958249655</v>
      </c>
      <c r="P108" s="14">
        <f>IF(data[[#This Row],[Weighted_Avg]]&lt;&gt;"", IFERROR(AVERAGE(O96,O84,O72), ""), "")</f>
        <v>0.31995526455481044</v>
      </c>
      <c r="Q108" s="14" t="b">
        <f>IF(data[[#This Row],[Date]]&gt;MAX(data[Date])-750, TRUE, FALSE)</f>
        <v>0</v>
      </c>
      <c r="R108" s="3">
        <v>0.13500000000000001</v>
      </c>
      <c r="S108" s="3">
        <v>0.14499999999999999</v>
      </c>
      <c r="T108">
        <v>2.7919999999999998</v>
      </c>
    </row>
    <row r="109" spans="1:20">
      <c r="A109" s="4">
        <v>40162</v>
      </c>
      <c r="B109">
        <f>YEAR(data[[#This Row],[Date]])</f>
        <v>2009</v>
      </c>
      <c r="C109" s="6">
        <f t="shared" si="13"/>
        <v>0.36</v>
      </c>
      <c r="D109" s="7">
        <f t="shared" si="9"/>
        <v>0.05</v>
      </c>
      <c r="E109" s="7">
        <f t="shared" si="10"/>
        <v>0</v>
      </c>
      <c r="F109" s="7">
        <f t="shared" si="14"/>
        <v>0</v>
      </c>
      <c r="G109" s="10">
        <v>7.4800000000000005E-2</v>
      </c>
      <c r="H109" s="15">
        <f>AVERAGE(0.12,0.115)</f>
        <v>0.11749999999999999</v>
      </c>
      <c r="I109" s="7">
        <f t="shared" si="11"/>
        <v>0.17</v>
      </c>
      <c r="J109" s="7">
        <f t="shared" si="12"/>
        <v>0</v>
      </c>
      <c r="K109" s="7">
        <v>0.14000000000000001</v>
      </c>
      <c r="L109" s="7">
        <v>0</v>
      </c>
      <c r="M109" s="7">
        <v>0.12</v>
      </c>
      <c r="N10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0.14032857142857144</v>
      </c>
      <c r="O10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0.18263571117253979</v>
      </c>
      <c r="P109" s="14">
        <f>IF(data[[#This Row],[Weighted_Avg]]&lt;&gt;"", IFERROR(AVERAGE(O97,O85,O73), ""), "")</f>
        <v>0.27917692363757157</v>
      </c>
      <c r="Q109" s="14" t="b">
        <f>IF(data[[#This Row],[Date]]&gt;MAX(data[Date])-750, TRUE, FALSE)</f>
        <v>0</v>
      </c>
      <c r="R109" s="3">
        <v>0.13500000000000001</v>
      </c>
      <c r="S109" s="3">
        <v>0.14499999999999999</v>
      </c>
      <c r="T109">
        <v>2.7450000000000001</v>
      </c>
    </row>
    <row r="110" spans="1:20">
      <c r="A110" s="4">
        <v>40193</v>
      </c>
      <c r="B110">
        <f>YEAR(data[[#This Row],[Date]])</f>
        <v>2010</v>
      </c>
      <c r="C110" s="6">
        <f t="shared" si="13"/>
        <v>0.39</v>
      </c>
      <c r="D110" s="7">
        <f t="shared" si="9"/>
        <v>0.08</v>
      </c>
      <c r="E110" s="7">
        <f t="shared" si="10"/>
        <v>0</v>
      </c>
      <c r="F110" s="7">
        <f t="shared" si="14"/>
        <v>0</v>
      </c>
      <c r="G110" s="10">
        <v>9.7799999999999998E-2</v>
      </c>
      <c r="H110" s="15">
        <f>AVERAGE(0.11,0.105)</f>
        <v>0.1075</v>
      </c>
      <c r="I110" s="7">
        <f t="shared" si="11"/>
        <v>0.2</v>
      </c>
      <c r="J110" s="7">
        <f t="shared" si="12"/>
        <v>0</v>
      </c>
      <c r="K110" s="7">
        <v>0.17</v>
      </c>
      <c r="L110" s="7">
        <v>0</v>
      </c>
      <c r="M110" s="7">
        <v>0.14000000000000001</v>
      </c>
      <c r="N11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0.15790000000000001</v>
      </c>
      <c r="O11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0.20389502830428408</v>
      </c>
      <c r="P110" s="14">
        <f>IF(data[[#This Row],[Weighted_Avg]]&lt;&gt;"", IFERROR(AVERAGE(O98,O86,O74), ""), "")</f>
        <v>0.24865514247111609</v>
      </c>
      <c r="Q110" s="14" t="b">
        <f>IF(data[[#This Row],[Date]]&gt;MAX(data[Date])-750, TRUE, FALSE)</f>
        <v>0</v>
      </c>
      <c r="R110" s="3">
        <v>0.14000000000000001</v>
      </c>
      <c r="S110" s="3">
        <v>0.14499999999999999</v>
      </c>
      <c r="T110">
        <v>2.8450000000000002</v>
      </c>
    </row>
    <row r="111" spans="1:20">
      <c r="A111" s="4">
        <v>40224</v>
      </c>
      <c r="B111">
        <f>YEAR(data[[#This Row],[Date]])</f>
        <v>2010</v>
      </c>
      <c r="C111" s="6">
        <f t="shared" si="13"/>
        <v>0.38</v>
      </c>
      <c r="D111" s="7">
        <f t="shared" si="9"/>
        <v>7.0000000000000007E-2</v>
      </c>
      <c r="E111" s="7">
        <f t="shared" si="10"/>
        <v>0</v>
      </c>
      <c r="F111" s="7">
        <f t="shared" si="14"/>
        <v>0</v>
      </c>
      <c r="G111" s="10">
        <v>8.6300000000000002E-2</v>
      </c>
      <c r="H111" s="15">
        <f>AVERAGE(0.12,0.13)</f>
        <v>0.125</v>
      </c>
      <c r="I111" s="7">
        <f t="shared" si="11"/>
        <v>0.19</v>
      </c>
      <c r="J111" s="7">
        <f t="shared" si="12"/>
        <v>0</v>
      </c>
      <c r="K111" s="7">
        <v>0.16</v>
      </c>
      <c r="L111" s="7">
        <v>0</v>
      </c>
      <c r="M111" s="7">
        <v>0.13</v>
      </c>
      <c r="N11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0.15304285714285712</v>
      </c>
      <c r="O11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0.19940639441078409</v>
      </c>
      <c r="P111" s="14">
        <f>IF(data[[#This Row],[Weighted_Avg]]&lt;&gt;"", IFERROR(AVERAGE(O99,O87,O75), ""), "")</f>
        <v>0.22441002841064295</v>
      </c>
      <c r="Q111" s="14" t="b">
        <f>IF(data[[#This Row],[Date]]&gt;MAX(data[Date])-750, TRUE, FALSE)</f>
        <v>0</v>
      </c>
      <c r="R111" s="3">
        <v>0.14000000000000001</v>
      </c>
      <c r="S111" s="3">
        <v>0.14499999999999999</v>
      </c>
      <c r="T111">
        <v>2.7850000000000001</v>
      </c>
    </row>
    <row r="112" spans="1:20">
      <c r="A112" s="4">
        <v>40252</v>
      </c>
      <c r="B112">
        <f>YEAR(data[[#This Row],[Date]])</f>
        <v>2010</v>
      </c>
      <c r="C112" s="6">
        <f t="shared" si="13"/>
        <v>0.4</v>
      </c>
      <c r="D112" s="7">
        <f t="shared" si="9"/>
        <v>0.09</v>
      </c>
      <c r="E112" s="7">
        <f t="shared" si="10"/>
        <v>0</v>
      </c>
      <c r="F112" s="7">
        <f t="shared" si="14"/>
        <v>0</v>
      </c>
      <c r="G112" s="19">
        <v>0.10929999999999999</v>
      </c>
      <c r="H112" s="15">
        <f>AVERAGE(0.12,0.115)</f>
        <v>0.11749999999999999</v>
      </c>
      <c r="I112" s="7">
        <f t="shared" si="11"/>
        <v>0.22</v>
      </c>
      <c r="J112" s="7">
        <f t="shared" si="12"/>
        <v>0</v>
      </c>
      <c r="K112" s="7">
        <v>0.18</v>
      </c>
      <c r="L112" s="7">
        <v>0</v>
      </c>
      <c r="M112" s="7">
        <v>0.15</v>
      </c>
      <c r="N11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0.16811428571428569</v>
      </c>
      <c r="O11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0.21378054367493393</v>
      </c>
      <c r="P112" s="14">
        <f>IF(data[[#This Row],[Weighted_Avg]]&lt;&gt;"", IFERROR(AVERAGE(O100,O88,O76), ""), "")</f>
        <v>0.20188527090630859</v>
      </c>
      <c r="Q112" s="14" t="b">
        <f>IF(data[[#This Row],[Date]]&gt;MAX(data[Date])-750, TRUE, FALSE)</f>
        <v>0</v>
      </c>
      <c r="R112" s="3">
        <v>0.14000000000000001</v>
      </c>
      <c r="S112" s="3">
        <v>0.15</v>
      </c>
      <c r="T112">
        <v>2.915</v>
      </c>
    </row>
    <row r="113" spans="1:32">
      <c r="A113" s="4">
        <v>40283</v>
      </c>
      <c r="B113">
        <f>YEAR(data[[#This Row],[Date]])</f>
        <v>2010</v>
      </c>
      <c r="C113" s="6">
        <f t="shared" si="13"/>
        <v>0.39</v>
      </c>
      <c r="D113" s="7">
        <f t="shared" si="9"/>
        <v>0.08</v>
      </c>
      <c r="E113" s="7">
        <f t="shared" si="10"/>
        <v>0</v>
      </c>
      <c r="F113" s="7">
        <f t="shared" si="14"/>
        <v>0</v>
      </c>
      <c r="G113" s="19">
        <v>9.7799999999999998E-2</v>
      </c>
      <c r="H113" s="15">
        <f>AVERAGE(0.135,0.145)</f>
        <v>0.14000000000000001</v>
      </c>
      <c r="I113" s="7">
        <f t="shared" si="11"/>
        <v>0.2</v>
      </c>
      <c r="J113" s="7">
        <f t="shared" si="12"/>
        <v>0</v>
      </c>
      <c r="K113" s="7">
        <v>0.17</v>
      </c>
      <c r="L113" s="7">
        <v>0</v>
      </c>
      <c r="M113" s="7">
        <v>0.14000000000000001</v>
      </c>
      <c r="N11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0.16254285714285716</v>
      </c>
      <c r="O11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0.20946144769754066</v>
      </c>
      <c r="P113" s="14">
        <f>IF(data[[#This Row],[Weighted_Avg]]&lt;&gt;"", IFERROR(AVERAGE(O101,O89,O77), ""), "")</f>
        <v>0.20167054527777883</v>
      </c>
      <c r="Q113" s="14" t="b">
        <f>IF(data[[#This Row],[Date]]&gt;MAX(data[Date])-750, TRUE, FALSE)</f>
        <v>0</v>
      </c>
      <c r="R113" s="3">
        <v>0.14499999999999999</v>
      </c>
      <c r="S113" s="3">
        <v>0.15</v>
      </c>
      <c r="T113">
        <v>3.0590000000000002</v>
      </c>
    </row>
    <row r="114" spans="1:32">
      <c r="A114" s="4">
        <v>40313</v>
      </c>
      <c r="B114">
        <f>YEAR(data[[#This Row],[Date]])</f>
        <v>2010</v>
      </c>
      <c r="C114" s="6">
        <f t="shared" si="13"/>
        <v>0.42</v>
      </c>
      <c r="D114" s="7">
        <f t="shared" si="9"/>
        <v>0.11</v>
      </c>
      <c r="E114" s="7">
        <f t="shared" si="10"/>
        <v>0</v>
      </c>
      <c r="F114" s="7">
        <f t="shared" si="14"/>
        <v>0</v>
      </c>
      <c r="G114" s="19">
        <v>0.1208</v>
      </c>
      <c r="H114" s="15">
        <f>AVERAGE(0.155,0.175)</f>
        <v>0.16499999999999998</v>
      </c>
      <c r="I114" s="7">
        <f t="shared" si="11"/>
        <v>0.23</v>
      </c>
      <c r="J114" s="7">
        <f t="shared" si="12"/>
        <v>0</v>
      </c>
      <c r="K114" s="7">
        <v>0.2</v>
      </c>
      <c r="L114" s="7">
        <v>0</v>
      </c>
      <c r="M114" s="7">
        <v>0.17</v>
      </c>
      <c r="N11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0.18654285714285712</v>
      </c>
      <c r="O11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0.23477856895744104</v>
      </c>
      <c r="P114" s="14">
        <f>IF(data[[#This Row],[Weighted_Avg]]&lt;&gt;"", IFERROR(AVERAGE(O102,O90,O78), ""), "")</f>
        <v>0.23725766841648291</v>
      </c>
      <c r="Q114" s="14" t="b">
        <f>IF(data[[#This Row],[Date]]&gt;MAX(data[Date])-750, TRUE, FALSE)</f>
        <v>0</v>
      </c>
      <c r="R114" s="3">
        <v>0.14499999999999999</v>
      </c>
      <c r="S114" s="3">
        <v>0.155</v>
      </c>
      <c r="T114">
        <v>3.069</v>
      </c>
    </row>
    <row r="115" spans="1:32">
      <c r="A115" s="4">
        <v>40344</v>
      </c>
      <c r="B115">
        <f>YEAR(data[[#This Row],[Date]])</f>
        <v>2010</v>
      </c>
      <c r="C115" s="6">
        <f t="shared" si="13"/>
        <v>0.46</v>
      </c>
      <c r="D115" s="7">
        <f t="shared" si="9"/>
        <v>0.14000000000000001</v>
      </c>
      <c r="E115" s="7">
        <f t="shared" si="10"/>
        <v>0</v>
      </c>
      <c r="F115" s="7">
        <f t="shared" si="14"/>
        <v>0</v>
      </c>
      <c r="G115" s="19">
        <v>0.14949999999999999</v>
      </c>
      <c r="H115" s="15">
        <f>AVERAGE(0.185,0.17)</f>
        <v>0.17749999999999999</v>
      </c>
      <c r="I115" s="7">
        <f t="shared" si="11"/>
        <v>0.27</v>
      </c>
      <c r="J115" s="7">
        <f t="shared" si="12"/>
        <v>0</v>
      </c>
      <c r="K115" s="7">
        <v>0.23</v>
      </c>
      <c r="L115" s="7">
        <v>0</v>
      </c>
      <c r="M115" s="7">
        <v>0.2</v>
      </c>
      <c r="N11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0.21242857142857141</v>
      </c>
      <c r="O11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0.26269544345419421</v>
      </c>
      <c r="P115" s="14">
        <f>IF(data[[#This Row],[Weighted_Avg]]&lt;&gt;"", IFERROR(AVERAGE(O103,O91,O79), ""), "")</f>
        <v>0.26586612183857378</v>
      </c>
      <c r="Q115" s="14" t="b">
        <f>IF(data[[#This Row],[Date]]&gt;MAX(data[Date])-750, TRUE, FALSE)</f>
        <v>0</v>
      </c>
      <c r="R115" s="3">
        <v>0.14499999999999999</v>
      </c>
      <c r="S115" s="3">
        <v>0.155</v>
      </c>
      <c r="T115">
        <v>2.948</v>
      </c>
    </row>
    <row r="116" spans="1:32">
      <c r="A116" s="4">
        <v>40374</v>
      </c>
      <c r="B116">
        <f>YEAR(data[[#This Row],[Date]])</f>
        <v>2010</v>
      </c>
      <c r="C116" s="6">
        <f t="shared" si="13"/>
        <v>0.46</v>
      </c>
      <c r="D116" s="7">
        <f t="shared" si="9"/>
        <v>0.15</v>
      </c>
      <c r="E116" s="7">
        <f t="shared" si="10"/>
        <v>0</v>
      </c>
      <c r="F116" s="7">
        <f t="shared" si="14"/>
        <v>0</v>
      </c>
      <c r="G116" s="19">
        <v>0.14949999999999999</v>
      </c>
      <c r="H116" s="15">
        <f>AVERAGE(0.15,0.145)</f>
        <v>0.14749999999999999</v>
      </c>
      <c r="I116" s="7">
        <f t="shared" si="11"/>
        <v>0.27</v>
      </c>
      <c r="J116" s="7">
        <f t="shared" si="12"/>
        <v>0</v>
      </c>
      <c r="K116" s="7">
        <v>0.24</v>
      </c>
      <c r="L116" s="7">
        <v>0</v>
      </c>
      <c r="M116" s="7">
        <v>0.2</v>
      </c>
      <c r="N11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0.20957142857142858</v>
      </c>
      <c r="O11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0.2577764619797997</v>
      </c>
      <c r="P116" s="14">
        <f>IF(data[[#This Row],[Weighted_Avg]]&lt;&gt;"", IFERROR(AVERAGE(O104,O92,O80), ""), "")</f>
        <v>0.28965856658680816</v>
      </c>
      <c r="Q116" s="14" t="b">
        <f>IF(data[[#This Row],[Date]]&gt;MAX(data[Date])-750, TRUE, FALSE)</f>
        <v>0</v>
      </c>
      <c r="R116" s="3">
        <v>0.15</v>
      </c>
      <c r="S116" s="3">
        <v>0.155</v>
      </c>
      <c r="T116">
        <v>2.911</v>
      </c>
    </row>
    <row r="117" spans="1:32">
      <c r="A117" s="4">
        <v>40405</v>
      </c>
      <c r="B117">
        <f>YEAR(data[[#This Row],[Date]])</f>
        <v>2010</v>
      </c>
      <c r="C117" s="6">
        <f t="shared" si="13"/>
        <v>0.43</v>
      </c>
      <c r="D117" s="7">
        <f t="shared" si="9"/>
        <v>0.12</v>
      </c>
      <c r="E117" s="7">
        <f t="shared" si="10"/>
        <v>0</v>
      </c>
      <c r="F117" s="7">
        <f t="shared" si="14"/>
        <v>0</v>
      </c>
      <c r="G117" s="19">
        <v>0.1265</v>
      </c>
      <c r="H117" s="15">
        <f>AVERAGE(0.14,0.145)</f>
        <v>0.14250000000000002</v>
      </c>
      <c r="I117" s="7">
        <f t="shared" si="11"/>
        <v>0.24</v>
      </c>
      <c r="J117" s="7">
        <f t="shared" si="12"/>
        <v>0</v>
      </c>
      <c r="K117" s="7">
        <v>0.21</v>
      </c>
      <c r="L117" s="7">
        <v>0</v>
      </c>
      <c r="M117" s="7">
        <v>0.17</v>
      </c>
      <c r="N11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0.18842857142857142</v>
      </c>
      <c r="O11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0.23588482957728804</v>
      </c>
      <c r="P117" s="14">
        <f>IF(data[[#This Row],[Weighted_Avg]]&lt;&gt;"", IFERROR(AVERAGE(O105,O93,O81), ""), "")</f>
        <v>0.32584764879506234</v>
      </c>
      <c r="Q117" s="14" t="b">
        <f>IF(data[[#This Row],[Date]]&gt;MAX(data[Date])-750, TRUE, FALSE)</f>
        <v>0</v>
      </c>
      <c r="R117" s="3">
        <v>0.15</v>
      </c>
      <c r="S117" s="3">
        <v>0.16</v>
      </c>
      <c r="T117">
        <v>2.9590000000000001</v>
      </c>
    </row>
    <row r="118" spans="1:32">
      <c r="A118" s="4">
        <v>40436</v>
      </c>
      <c r="B118">
        <f>YEAR(data[[#This Row],[Date]])</f>
        <v>2010</v>
      </c>
      <c r="C118" s="6">
        <f t="shared" si="13"/>
        <v>0.42</v>
      </c>
      <c r="D118" s="7">
        <f t="shared" si="9"/>
        <v>0.11</v>
      </c>
      <c r="E118" s="7">
        <f t="shared" si="10"/>
        <v>0</v>
      </c>
      <c r="F118" s="7">
        <f t="shared" si="14"/>
        <v>0</v>
      </c>
      <c r="G118" s="19">
        <v>0.1208</v>
      </c>
      <c r="H118" s="15">
        <f>AVERAGE(0.15,0.15)</f>
        <v>0.15</v>
      </c>
      <c r="I118" s="7">
        <f t="shared" si="11"/>
        <v>0.23</v>
      </c>
      <c r="J118" s="7">
        <f t="shared" si="12"/>
        <v>0</v>
      </c>
      <c r="K118" s="7">
        <v>0.2</v>
      </c>
      <c r="L118" s="7">
        <v>0</v>
      </c>
      <c r="M118" s="7">
        <v>0.17</v>
      </c>
      <c r="N11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0.18439999999999998</v>
      </c>
      <c r="O11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0.23220945231439954</v>
      </c>
      <c r="P118" s="14">
        <f>IF(data[[#This Row],[Weighted_Avg]]&lt;&gt;"", IFERROR(AVERAGE(O106,O94,O82), ""), "")</f>
        <v>0.33462774935995948</v>
      </c>
      <c r="Q118" s="14" t="b">
        <f>IF(data[[#This Row],[Date]]&gt;MAX(data[Date])-750, TRUE, FALSE)</f>
        <v>0</v>
      </c>
      <c r="R118" s="3">
        <v>0.155</v>
      </c>
      <c r="S118" s="3">
        <v>0.16</v>
      </c>
      <c r="T118">
        <v>2.9460000000000002</v>
      </c>
    </row>
    <row r="119" spans="1:32">
      <c r="A119" s="4">
        <v>40466</v>
      </c>
      <c r="B119">
        <f>YEAR(data[[#This Row],[Date]])</f>
        <v>2010</v>
      </c>
      <c r="C119" s="6">
        <f t="shared" si="13"/>
        <v>0.43</v>
      </c>
      <c r="D119" s="7">
        <f t="shared" si="9"/>
        <v>0.12</v>
      </c>
      <c r="E119" s="7">
        <f t="shared" si="10"/>
        <v>0</v>
      </c>
      <c r="F119" s="7">
        <f t="shared" si="14"/>
        <v>0</v>
      </c>
      <c r="G119" s="19">
        <v>0.1265</v>
      </c>
      <c r="H119" s="15">
        <f>AVERAGE(0.145,0.15)</f>
        <v>0.14749999999999999</v>
      </c>
      <c r="I119" s="7">
        <f t="shared" si="11"/>
        <v>0.24</v>
      </c>
      <c r="J119" s="7">
        <f t="shared" si="12"/>
        <v>0</v>
      </c>
      <c r="K119" s="7">
        <v>0.21</v>
      </c>
      <c r="L119" s="7">
        <v>0</v>
      </c>
      <c r="M119" s="7">
        <v>0.18</v>
      </c>
      <c r="N11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0.19057142857142856</v>
      </c>
      <c r="O11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0.23854974298056819</v>
      </c>
      <c r="P119" s="14">
        <f>IF(data[[#This Row],[Weighted_Avg]]&lt;&gt;"", IFERROR(AVERAGE(O107,O95,O83), ""), "")</f>
        <v>0.31218721681892458</v>
      </c>
      <c r="Q119" s="14" t="b">
        <f>IF(data[[#This Row],[Date]]&gt;MAX(data[Date])-750, TRUE, FALSE)</f>
        <v>0</v>
      </c>
      <c r="R119" s="3">
        <v>0.155</v>
      </c>
      <c r="S119" s="3">
        <v>0.16500000000000001</v>
      </c>
      <c r="T119">
        <v>3.052</v>
      </c>
    </row>
    <row r="120" spans="1:32">
      <c r="A120" s="4">
        <v>40497</v>
      </c>
      <c r="B120">
        <f>YEAR(data[[#This Row],[Date]])</f>
        <v>2010</v>
      </c>
      <c r="C120" s="6">
        <f t="shared" si="13"/>
        <v>0.43</v>
      </c>
      <c r="D120" s="7">
        <f t="shared" si="9"/>
        <v>0.12</v>
      </c>
      <c r="E120" s="7">
        <f t="shared" si="10"/>
        <v>0</v>
      </c>
      <c r="F120" s="7">
        <f t="shared" si="14"/>
        <v>0</v>
      </c>
      <c r="G120" s="19">
        <v>0.1265</v>
      </c>
      <c r="H120" s="15">
        <f>AVERAGE(0.175,0.16)</f>
        <v>0.16749999999999998</v>
      </c>
      <c r="I120" s="7">
        <f t="shared" si="11"/>
        <v>0.24</v>
      </c>
      <c r="J120" s="7">
        <f t="shared" si="12"/>
        <v>0</v>
      </c>
      <c r="K120" s="7">
        <v>0.21</v>
      </c>
      <c r="L120" s="7">
        <v>0</v>
      </c>
      <c r="M120" s="7">
        <v>0.17</v>
      </c>
      <c r="N12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0.19199999999999998</v>
      </c>
      <c r="O12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0.24016669064902385</v>
      </c>
      <c r="P120" s="14">
        <f>IF(data[[#This Row],[Weighted_Avg]]&lt;&gt;"", IFERROR(AVERAGE(O108,O96,O84), ""), "")</f>
        <v>0.29845578841564252</v>
      </c>
      <c r="Q120" s="14" t="b">
        <f>IF(data[[#This Row],[Date]]&gt;MAX(data[Date])-750, TRUE, FALSE)</f>
        <v>0</v>
      </c>
      <c r="R120" s="3">
        <v>0.155</v>
      </c>
      <c r="S120" s="3">
        <v>0.16500000000000001</v>
      </c>
      <c r="T120">
        <v>3.14</v>
      </c>
    </row>
    <row r="121" spans="1:32">
      <c r="A121" s="4">
        <v>40527</v>
      </c>
      <c r="B121">
        <f>YEAR(data[[#This Row],[Date]])</f>
        <v>2010</v>
      </c>
      <c r="C121" s="6">
        <f t="shared" si="13"/>
        <v>0.46</v>
      </c>
      <c r="D121" s="7">
        <f t="shared" si="9"/>
        <v>0.14000000000000001</v>
      </c>
      <c r="E121" s="7">
        <f t="shared" si="10"/>
        <v>0</v>
      </c>
      <c r="F121" s="7">
        <f t="shared" si="14"/>
        <v>0</v>
      </c>
      <c r="G121" s="19">
        <v>0.14949999999999999</v>
      </c>
      <c r="H121" s="15">
        <f>AVERAGE(0.195,0.18)</f>
        <v>0.1875</v>
      </c>
      <c r="I121" s="7">
        <f t="shared" si="11"/>
        <v>0.27</v>
      </c>
      <c r="J121" s="7">
        <f t="shared" si="12"/>
        <v>0</v>
      </c>
      <c r="K121" s="7">
        <v>0.23</v>
      </c>
      <c r="L121" s="7">
        <v>0</v>
      </c>
      <c r="M121" s="7">
        <v>0.2</v>
      </c>
      <c r="N12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0.21385714285714288</v>
      </c>
      <c r="O12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0.2644081878828885</v>
      </c>
      <c r="P121" s="14">
        <f>IF(data[[#This Row],[Weighted_Avg]]&lt;&gt;"", IFERROR(AVERAGE(O109,O97,O85), ""), "")</f>
        <v>0.28069548002841821</v>
      </c>
      <c r="Q121" s="14" t="b">
        <f>IF(data[[#This Row],[Date]]&gt;MAX(data[Date])-750, TRUE, FALSE)</f>
        <v>0</v>
      </c>
      <c r="R121" s="3">
        <v>0.16</v>
      </c>
      <c r="S121" s="3">
        <v>0.16500000000000001</v>
      </c>
      <c r="T121">
        <v>3.2429999999999999</v>
      </c>
    </row>
    <row r="122" spans="1:32">
      <c r="A122" s="4">
        <v>40558</v>
      </c>
      <c r="B122">
        <f>YEAR(data[[#This Row],[Date]])</f>
        <v>2011</v>
      </c>
      <c r="C122" s="6">
        <f t="shared" si="13"/>
        <v>0.48</v>
      </c>
      <c r="D122" s="7">
        <f t="shared" si="9"/>
        <v>0.17</v>
      </c>
      <c r="E122" s="7">
        <f t="shared" si="10"/>
        <v>0</v>
      </c>
      <c r="F122" s="7">
        <f t="shared" si="14"/>
        <v>0</v>
      </c>
      <c r="G122" s="19">
        <v>0.1668</v>
      </c>
      <c r="H122" s="15">
        <f>AVERAGE(0.195,0.21)</f>
        <v>0.20250000000000001</v>
      </c>
      <c r="I122" s="7">
        <f t="shared" si="11"/>
        <v>0.28999999999999998</v>
      </c>
      <c r="J122" s="7">
        <f t="shared" si="12"/>
        <v>0</v>
      </c>
      <c r="K122" s="7">
        <v>0.26</v>
      </c>
      <c r="L122" s="7">
        <v>0</v>
      </c>
      <c r="M122" s="7">
        <v>0.21</v>
      </c>
      <c r="N12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0.22989999999999999</v>
      </c>
      <c r="O12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0.2820631847897761</v>
      </c>
      <c r="P122" s="14">
        <f>IF(data[[#This Row],[Weighted_Avg]]&lt;&gt;"", IFERROR(AVERAGE(O110,O98,O86), ""), "")</f>
        <v>0.25456264523921074</v>
      </c>
      <c r="Q122" s="14" t="b">
        <f>IF(data[[#This Row],[Date]]&gt;MAX(data[Date])-750, TRUE, FALSE)</f>
        <v>0</v>
      </c>
      <c r="R122" s="3">
        <v>0.16</v>
      </c>
      <c r="S122" s="3">
        <v>0.17</v>
      </c>
      <c r="T122">
        <v>3.3879999999999999</v>
      </c>
    </row>
    <row r="123" spans="1:32">
      <c r="A123" s="4">
        <v>40589</v>
      </c>
      <c r="B123">
        <f>YEAR(data[[#This Row],[Date]])</f>
        <v>2011</v>
      </c>
      <c r="C123" s="6">
        <f t="shared" si="13"/>
        <v>0.5</v>
      </c>
      <c r="D123" s="7">
        <f t="shared" si="9"/>
        <v>0.19</v>
      </c>
      <c r="E123" s="7">
        <f t="shared" si="10"/>
        <v>0</v>
      </c>
      <c r="F123" s="7">
        <f t="shared" si="14"/>
        <v>0</v>
      </c>
      <c r="G123" s="19">
        <v>0.184</v>
      </c>
      <c r="H123" s="15">
        <f>AVERAGE(0.245,0.23)</f>
        <v>0.23749999999999999</v>
      </c>
      <c r="I123" s="7">
        <f t="shared" si="11"/>
        <v>0.32</v>
      </c>
      <c r="J123" s="7">
        <f t="shared" si="12"/>
        <v>0</v>
      </c>
      <c r="K123" s="7">
        <v>0.28000000000000003</v>
      </c>
      <c r="L123" s="7">
        <v>0</v>
      </c>
      <c r="M123" s="7">
        <v>0.23</v>
      </c>
      <c r="N12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0.25021428571428572</v>
      </c>
      <c r="O12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0.30297165604295534</v>
      </c>
      <c r="P123" s="14">
        <f>IF(data[[#This Row],[Weighted_Avg]]&lt;&gt;"", IFERROR(AVERAGE(O111,O99,O87), ""), "")</f>
        <v>0.2235194332142377</v>
      </c>
      <c r="Q123" s="14" t="b">
        <f>IF(data[[#This Row],[Date]]&gt;MAX(data[Date])-750, TRUE, FALSE)</f>
        <v>0</v>
      </c>
      <c r="R123" s="3">
        <v>0.16500000000000001</v>
      </c>
      <c r="S123" s="3">
        <v>0.17</v>
      </c>
      <c r="T123">
        <v>3.5840000000000001</v>
      </c>
    </row>
    <row r="124" spans="1:32">
      <c r="A124" s="4">
        <v>40617</v>
      </c>
      <c r="B124">
        <f>YEAR(data[[#This Row],[Date]])</f>
        <v>2011</v>
      </c>
      <c r="C124" s="6">
        <f t="shared" si="13"/>
        <v>0.54</v>
      </c>
      <c r="D124" s="7">
        <f t="shared" si="9"/>
        <v>0.23</v>
      </c>
      <c r="E124" s="7">
        <f t="shared" si="10"/>
        <v>0.04</v>
      </c>
      <c r="F124" s="7">
        <f t="shared" si="14"/>
        <v>0.03</v>
      </c>
      <c r="G124" s="19">
        <v>0.21279999999999999</v>
      </c>
      <c r="H124" s="15">
        <f>AVERAGE(0.26,0.27)</f>
        <v>0.26500000000000001</v>
      </c>
      <c r="I124" s="7">
        <f t="shared" si="11"/>
        <v>0.35</v>
      </c>
      <c r="J124" s="7">
        <f t="shared" si="12"/>
        <v>0</v>
      </c>
      <c r="K124" s="7">
        <v>0.32</v>
      </c>
      <c r="L124" s="7">
        <v>0</v>
      </c>
      <c r="M124" s="7">
        <v>0.26</v>
      </c>
      <c r="N12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0.23397142857142855</v>
      </c>
      <c r="O12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0.22689206254906269</v>
      </c>
      <c r="P124" s="14">
        <f>IF(data[[#This Row],[Weighted_Avg]]&lt;&gt;"", IFERROR(AVERAGE(O112,O100,O88), ""), "")</f>
        <v>0.21557749879795321</v>
      </c>
      <c r="Q124" s="14" t="b">
        <f>IF(data[[#This Row],[Date]]&gt;MAX(data[Date])-750, TRUE, FALSE)</f>
        <v>0</v>
      </c>
      <c r="R124" s="3">
        <v>0.16500000000000001</v>
      </c>
      <c r="S124" s="3">
        <v>0.17499999999999999</v>
      </c>
      <c r="T124">
        <v>3.9049999999999998</v>
      </c>
    </row>
    <row r="125" spans="1:32">
      <c r="A125" s="4">
        <v>40648</v>
      </c>
      <c r="B125">
        <f>YEAR(data[[#This Row],[Date]])</f>
        <v>2011</v>
      </c>
      <c r="C125" s="6">
        <f t="shared" si="13"/>
        <v>0.59</v>
      </c>
      <c r="D125" s="7">
        <f t="shared" ref="D125:D188" si="15">IF(T123&gt;2.5,ROUNDDOWN((T123-2.5)/0.04,0)+1,ROUNDUP((T123-2.5)/0.04,0)+1)/100</f>
        <v>0.28000000000000003</v>
      </c>
      <c r="E125" s="7">
        <f t="shared" si="10"/>
        <v>0.09</v>
      </c>
      <c r="F125" s="7">
        <f t="shared" si="14"/>
        <v>7.0000000000000007E-2</v>
      </c>
      <c r="G125" s="19">
        <v>0.24729999999999999</v>
      </c>
      <c r="H125" s="15">
        <f>AVERAGE(0.325,0.35)</f>
        <v>0.33750000000000002</v>
      </c>
      <c r="I125" s="7">
        <f t="shared" si="11"/>
        <v>0.4</v>
      </c>
      <c r="J125" s="7">
        <f t="shared" si="12"/>
        <v>0</v>
      </c>
      <c r="K125" s="7">
        <v>0.37</v>
      </c>
      <c r="L125" s="7">
        <v>0</v>
      </c>
      <c r="M125" s="7">
        <v>0.3</v>
      </c>
      <c r="N12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0.27640000000000003</v>
      </c>
      <c r="O12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0.27217886161961885</v>
      </c>
      <c r="P125" s="14">
        <f>IF(data[[#This Row],[Weighted_Avg]]&lt;&gt;"", IFERROR(AVERAGE(O113,O101,O89), ""), "")</f>
        <v>0.21351507451029239</v>
      </c>
      <c r="Q125" s="14" t="b">
        <f>IF(data[[#This Row],[Date]]&gt;MAX(data[Date])-750, TRUE, FALSE)</f>
        <v>0</v>
      </c>
      <c r="R125" s="3">
        <v>0.17</v>
      </c>
      <c r="S125" s="3">
        <v>0.17499999999999999</v>
      </c>
      <c r="T125">
        <v>4.0640000000000001</v>
      </c>
    </row>
    <row r="126" spans="1:32">
      <c r="A126" s="4">
        <v>40678</v>
      </c>
      <c r="B126">
        <f>YEAR(data[[#This Row],[Date]])</f>
        <v>2011</v>
      </c>
      <c r="C126" s="6">
        <f t="shared" si="13"/>
        <v>0.67</v>
      </c>
      <c r="D126" s="7">
        <f t="shared" si="15"/>
        <v>0.36</v>
      </c>
      <c r="E126" s="7">
        <f t="shared" si="10"/>
        <v>0.17</v>
      </c>
      <c r="F126" s="7">
        <f t="shared" si="14"/>
        <v>0.14000000000000001</v>
      </c>
      <c r="G126" s="19">
        <v>0.3105</v>
      </c>
      <c r="H126" s="15">
        <f>AVERAGE(0.355,0.385)</f>
        <v>0.37</v>
      </c>
      <c r="I126" s="7">
        <f t="shared" si="11"/>
        <v>0.48</v>
      </c>
      <c r="J126" s="7">
        <f t="shared" si="12"/>
        <v>0.04</v>
      </c>
      <c r="K126" s="7">
        <v>0.45</v>
      </c>
      <c r="L126" s="7">
        <v>0</v>
      </c>
      <c r="M126" s="7">
        <v>0.37</v>
      </c>
      <c r="N12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0.33435714285714285</v>
      </c>
      <c r="O12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0.33261392470248374</v>
      </c>
      <c r="P126" s="14">
        <f>IF(data[[#This Row],[Weighted_Avg]]&lt;&gt;"", IFERROR(AVERAGE(O114,O102,O90), ""), "")</f>
        <v>0.24425444473562993</v>
      </c>
      <c r="Q126" s="14" t="b">
        <f>IF(data[[#This Row],[Date]]&gt;MAX(data[Date])-750, TRUE, FALSE)</f>
        <v>0</v>
      </c>
      <c r="R126" s="3">
        <v>0.17</v>
      </c>
      <c r="S126" s="3">
        <v>0.17499999999999999</v>
      </c>
      <c r="T126">
        <v>4.0469999999999997</v>
      </c>
    </row>
    <row r="127" spans="1:32">
      <c r="A127" s="4">
        <v>40709</v>
      </c>
      <c r="B127">
        <f>YEAR(data[[#This Row],[Date]])</f>
        <v>2011</v>
      </c>
      <c r="C127" s="6">
        <f t="shared" si="13"/>
        <v>0.71</v>
      </c>
      <c r="D127" s="7">
        <f t="shared" si="15"/>
        <v>0.4</v>
      </c>
      <c r="E127" s="7">
        <f t="shared" si="10"/>
        <v>0.21</v>
      </c>
      <c r="F127" s="7">
        <f t="shared" si="14"/>
        <v>0.17</v>
      </c>
      <c r="G127" s="19">
        <v>0.33929999999999999</v>
      </c>
      <c r="H127" s="15">
        <f>AVERAGE(0.39,0.375)</f>
        <v>0.38250000000000001</v>
      </c>
      <c r="I127" s="7">
        <f t="shared" si="11"/>
        <v>0.52</v>
      </c>
      <c r="J127" s="7">
        <f t="shared" si="12"/>
        <v>0.08</v>
      </c>
      <c r="K127" s="7">
        <v>0.49</v>
      </c>
      <c r="L127" s="7">
        <v>0</v>
      </c>
      <c r="M127" s="7">
        <v>0.4</v>
      </c>
      <c r="N12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0.36168571428571428</v>
      </c>
      <c r="O12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0.36092844996388984</v>
      </c>
      <c r="P127" s="14">
        <f>IF(data[[#This Row],[Weighted_Avg]]&lt;&gt;"", IFERROR(AVERAGE(O115,O103,O91), ""), "")</f>
        <v>0.27138173965663853</v>
      </c>
      <c r="Q127" s="14" t="b">
        <f>IF(data[[#This Row],[Date]]&gt;MAX(data[Date])-750, TRUE, FALSE)</f>
        <v>0</v>
      </c>
      <c r="R127" s="3">
        <v>0.17</v>
      </c>
      <c r="S127" s="3">
        <v>0.18</v>
      </c>
      <c r="T127">
        <v>3.9329999999999998</v>
      </c>
      <c r="AE127" s="5"/>
      <c r="AF127" s="5"/>
    </row>
    <row r="128" spans="1:32">
      <c r="A128" s="4">
        <v>40739</v>
      </c>
      <c r="B128">
        <f>YEAR(data[[#This Row],[Date]])</f>
        <v>2011</v>
      </c>
      <c r="C128" s="6">
        <f t="shared" si="13"/>
        <v>0.7</v>
      </c>
      <c r="D128" s="7">
        <f t="shared" si="15"/>
        <v>0.39</v>
      </c>
      <c r="E128" s="7">
        <f t="shared" si="10"/>
        <v>0.2</v>
      </c>
      <c r="F128" s="7">
        <f t="shared" si="14"/>
        <v>0.16</v>
      </c>
      <c r="G128" s="19">
        <v>0.33929999999999999</v>
      </c>
      <c r="H128" s="15">
        <f>AVERAGE(0.355,0.355)</f>
        <v>0.35499999999999998</v>
      </c>
      <c r="I128" s="7">
        <f t="shared" si="11"/>
        <v>0.52</v>
      </c>
      <c r="J128" s="7">
        <f t="shared" si="12"/>
        <v>0.08</v>
      </c>
      <c r="K128" s="7">
        <v>0.48</v>
      </c>
      <c r="L128" s="7">
        <v>0</v>
      </c>
      <c r="M128" s="7">
        <v>0.39</v>
      </c>
      <c r="N12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0.35347142857142855</v>
      </c>
      <c r="O12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0.35078662027820517</v>
      </c>
      <c r="P128" s="14">
        <f>IF(data[[#This Row],[Weighted_Avg]]&lt;&gt;"", IFERROR(AVERAGE(O116,O104,O92), ""), "")</f>
        <v>0.29662746724674144</v>
      </c>
      <c r="Q128" s="14" t="b">
        <f>IF(data[[#This Row],[Date]]&gt;MAX(data[Date])-750, TRUE, FALSE)</f>
        <v>0</v>
      </c>
      <c r="R128" s="3">
        <v>0.17499999999999999</v>
      </c>
      <c r="S128" s="3">
        <v>0.18</v>
      </c>
      <c r="T128">
        <v>3.9049999999999998</v>
      </c>
    </row>
    <row r="129" spans="1:31">
      <c r="A129" s="4">
        <v>40770</v>
      </c>
      <c r="B129">
        <f>YEAR(data[[#This Row],[Date]])</f>
        <v>2011</v>
      </c>
      <c r="C129" s="6">
        <f t="shared" si="13"/>
        <v>0.68</v>
      </c>
      <c r="D129" s="7">
        <f t="shared" si="15"/>
        <v>0.36</v>
      </c>
      <c r="E129" s="7">
        <f t="shared" si="10"/>
        <v>0.18</v>
      </c>
      <c r="F129" s="7">
        <f t="shared" si="14"/>
        <v>0.14000000000000001</v>
      </c>
      <c r="G129" s="19">
        <v>0.31630000000000003</v>
      </c>
      <c r="H129" s="15">
        <f>AVERAGE(0.34,0.355)</f>
        <v>0.34750000000000003</v>
      </c>
      <c r="I129" s="7">
        <f t="shared" si="11"/>
        <v>0.49</v>
      </c>
      <c r="J129" s="7">
        <f t="shared" si="12"/>
        <v>0.05</v>
      </c>
      <c r="K129" s="7">
        <v>0.45</v>
      </c>
      <c r="L129" s="7">
        <v>0</v>
      </c>
      <c r="M129" s="7">
        <v>0.37</v>
      </c>
      <c r="N12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0.33340000000000003</v>
      </c>
      <c r="O12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0.33015180349797468</v>
      </c>
      <c r="P129" s="14">
        <f>IF(data[[#This Row],[Weighted_Avg]]&lt;&gt;"", IFERROR(AVERAGE(O117,O105,O93), ""), "")</f>
        <v>0.32423739532082502</v>
      </c>
      <c r="Q129" s="14" t="b">
        <f>IF(data[[#This Row],[Date]]&gt;MAX(data[Date])-750, TRUE, FALSE)</f>
        <v>0</v>
      </c>
      <c r="R129" s="3">
        <v>0.17499999999999999</v>
      </c>
      <c r="S129" s="3">
        <v>0.185</v>
      </c>
      <c r="T129">
        <v>3.86</v>
      </c>
    </row>
    <row r="130" spans="1:31">
      <c r="A130" s="4">
        <v>40801</v>
      </c>
      <c r="B130">
        <f>YEAR(data[[#This Row],[Date]])</f>
        <v>2011</v>
      </c>
      <c r="C130" s="6">
        <f t="shared" si="13"/>
        <v>0.67</v>
      </c>
      <c r="D130" s="7">
        <f t="shared" si="15"/>
        <v>0.36</v>
      </c>
      <c r="E130" s="7">
        <f t="shared" si="10"/>
        <v>0.17</v>
      </c>
      <c r="F130" s="7">
        <f t="shared" si="14"/>
        <v>0.14000000000000001</v>
      </c>
      <c r="G130" s="19">
        <v>0.3105</v>
      </c>
      <c r="H130" s="15">
        <f>AVERAGE(0.35,0.33)</f>
        <v>0.33999999999999997</v>
      </c>
      <c r="I130" s="7">
        <f t="shared" si="11"/>
        <v>0.48</v>
      </c>
      <c r="J130" s="7">
        <f t="shared" si="12"/>
        <v>0.04</v>
      </c>
      <c r="K130" s="7">
        <v>0.45</v>
      </c>
      <c r="L130" s="7">
        <v>0</v>
      </c>
      <c r="M130" s="7">
        <v>0.37</v>
      </c>
      <c r="N13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0.33007142857142852</v>
      </c>
      <c r="O13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0.32753842622539014</v>
      </c>
      <c r="P130" s="14">
        <f>IF(data[[#This Row],[Weighted_Avg]]&lt;&gt;"", IFERROR(AVERAGE(O118,O106,O94), ""), "")</f>
        <v>0.32791082679809264</v>
      </c>
      <c r="Q130" s="14" t="b">
        <f>IF(data[[#This Row],[Date]]&gt;MAX(data[Date])-750, TRUE, FALSE)</f>
        <v>0</v>
      </c>
      <c r="R130" s="3">
        <v>0.18</v>
      </c>
      <c r="S130" s="3">
        <v>0.185</v>
      </c>
      <c r="T130">
        <v>3.8370000000000002</v>
      </c>
      <c r="AE130" s="5"/>
    </row>
    <row r="131" spans="1:31">
      <c r="A131" s="4">
        <v>40831</v>
      </c>
      <c r="B131">
        <f>YEAR(data[[#This Row],[Date]])</f>
        <v>2011</v>
      </c>
      <c r="C131" s="6">
        <f t="shared" si="13"/>
        <v>0.66</v>
      </c>
      <c r="D131" s="7">
        <f t="shared" si="15"/>
        <v>0.35</v>
      </c>
      <c r="E131" s="7">
        <f t="shared" si="10"/>
        <v>0.16</v>
      </c>
      <c r="F131" s="7">
        <f t="shared" si="14"/>
        <v>0.13</v>
      </c>
      <c r="G131" s="19">
        <v>0.30480000000000002</v>
      </c>
      <c r="H131" s="15">
        <f>AVERAGE(0.335,0.335)</f>
        <v>0.33500000000000002</v>
      </c>
      <c r="I131" s="7">
        <f t="shared" si="11"/>
        <v>0.47</v>
      </c>
      <c r="J131" s="7">
        <f t="shared" si="12"/>
        <v>0.03</v>
      </c>
      <c r="K131" s="7">
        <v>0.44</v>
      </c>
      <c r="L131" s="7">
        <v>0</v>
      </c>
      <c r="M131" s="7">
        <v>0.36</v>
      </c>
      <c r="N13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0.32282857142857141</v>
      </c>
      <c r="O13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0.31987123295757847</v>
      </c>
      <c r="P131" s="14">
        <f>IF(data[[#This Row],[Weighted_Avg]]&lt;&gt;"", IFERROR(AVERAGE(O119,O107,O95), ""), "")</f>
        <v>0.30753092447911395</v>
      </c>
      <c r="Q131" s="14" t="b">
        <f>IF(data[[#This Row],[Date]]&gt;MAX(data[Date])-750, TRUE, FALSE)</f>
        <v>0</v>
      </c>
      <c r="R131" s="3">
        <v>0.18</v>
      </c>
      <c r="S131" s="3">
        <v>0.185</v>
      </c>
      <c r="T131">
        <v>3.798</v>
      </c>
    </row>
    <row r="132" spans="1:31">
      <c r="A132" s="4">
        <v>40862</v>
      </c>
      <c r="B132">
        <f>YEAR(data[[#This Row],[Date]])</f>
        <v>2011</v>
      </c>
      <c r="C132" s="6">
        <f t="shared" si="13"/>
        <v>0.65</v>
      </c>
      <c r="D132" s="7">
        <f t="shared" si="15"/>
        <v>0.34</v>
      </c>
      <c r="E132" s="7">
        <f t="shared" ref="E132:E195" si="16">IF(T130&gt;3.25, ROUNDDOWN((T130-3.25)/0.04, 0)+1, 0)/100</f>
        <v>0.15</v>
      </c>
      <c r="F132" s="7">
        <f t="shared" si="14"/>
        <v>0.12</v>
      </c>
      <c r="G132" s="19">
        <v>0.29899999999999999</v>
      </c>
      <c r="H132" s="15">
        <f>AVERAGE(0.31,0.33)</f>
        <v>0.32</v>
      </c>
      <c r="I132" s="7">
        <f t="shared" ref="I132:I195" si="17">IF(T130&gt;2, ROUNDDOWN((T130-2)/0.04, 0)+1, 0)/100</f>
        <v>0.46</v>
      </c>
      <c r="J132" s="7">
        <f t="shared" ref="J132:J195" si="18">IF(T130&gt;=3.75, ROUNDDOWN((T130-3.75)/0.04, 0)+1, 0)/100</f>
        <v>0.03</v>
      </c>
      <c r="K132" s="7">
        <v>0.43</v>
      </c>
      <c r="L132" s="7">
        <v>0</v>
      </c>
      <c r="M132" s="7">
        <v>0.35</v>
      </c>
      <c r="N13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0.31414285714285711</v>
      </c>
      <c r="O13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0.31049969165070496</v>
      </c>
      <c r="P132" s="14">
        <f>IF(data[[#This Row],[Weighted_Avg]]&lt;&gt;"", IFERROR(AVERAGE(O120,O108,O96), ""), "")</f>
        <v>0.28861498196531715</v>
      </c>
      <c r="Q132" s="14" t="b">
        <f>IF(data[[#This Row],[Date]]&gt;MAX(data[Date])-750, TRUE, FALSE)</f>
        <v>0</v>
      </c>
      <c r="R132" s="3">
        <v>0.185</v>
      </c>
      <c r="S132" s="3">
        <v>0.19</v>
      </c>
      <c r="T132">
        <v>3.9620000000000002</v>
      </c>
    </row>
    <row r="133" spans="1:31">
      <c r="A133" s="4">
        <v>40892</v>
      </c>
      <c r="B133">
        <f>YEAR(data[[#This Row],[Date]])</f>
        <v>2011</v>
      </c>
      <c r="C133" s="6">
        <f t="shared" si="13"/>
        <v>0.64</v>
      </c>
      <c r="D133" s="7">
        <f t="shared" si="15"/>
        <v>0.33</v>
      </c>
      <c r="E133" s="7">
        <f t="shared" si="16"/>
        <v>0.14000000000000001</v>
      </c>
      <c r="F133" s="7">
        <f t="shared" si="14"/>
        <v>0.11</v>
      </c>
      <c r="G133" s="19">
        <v>0.28749999999999998</v>
      </c>
      <c r="H133" s="15">
        <f>AVERAGE(0.345,0.365)</f>
        <v>0.35499999999999998</v>
      </c>
      <c r="I133" s="7">
        <f t="shared" si="17"/>
        <v>0.45</v>
      </c>
      <c r="J133" s="7">
        <f t="shared" si="18"/>
        <v>0.02</v>
      </c>
      <c r="K133" s="7">
        <v>0.42</v>
      </c>
      <c r="L133" s="7">
        <v>0</v>
      </c>
      <c r="M133" s="7">
        <v>0.34</v>
      </c>
      <c r="N13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0.31178571428571422</v>
      </c>
      <c r="O13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0.30887394731057871</v>
      </c>
      <c r="P133" s="14">
        <f>IF(data[[#This Row],[Weighted_Avg]]&lt;&gt;"", IFERROR(AVERAGE(O121,O109,O97), ""), "")</f>
        <v>0.27121733265604769</v>
      </c>
      <c r="Q133" s="14" t="b">
        <f>IF(data[[#This Row],[Date]]&gt;MAX(data[Date])-750, TRUE, FALSE)</f>
        <v>0</v>
      </c>
      <c r="R133" s="3">
        <v>0.185</v>
      </c>
      <c r="S133" s="3">
        <v>0.19</v>
      </c>
      <c r="T133">
        <v>3.8610000000000002</v>
      </c>
      <c r="AE133" s="5"/>
    </row>
    <row r="134" spans="1:31">
      <c r="A134" s="4">
        <v>40923</v>
      </c>
      <c r="B134">
        <f>YEAR(data[[#This Row],[Date]])</f>
        <v>2012</v>
      </c>
      <c r="C134" s="6">
        <f t="shared" ref="C134:C197" si="19">IF(T132&gt;1.25, ROUNDDOWN((T132-1.25)/0.04, 0)+1, 0)/100</f>
        <v>0.68</v>
      </c>
      <c r="D134" s="7">
        <f t="shared" si="15"/>
        <v>0.37</v>
      </c>
      <c r="E134" s="7">
        <f t="shared" si="16"/>
        <v>0.18</v>
      </c>
      <c r="F134" s="7">
        <f t="shared" si="14"/>
        <v>0.15</v>
      </c>
      <c r="G134" s="19">
        <v>0.32200000000000001</v>
      </c>
      <c r="H134" s="15">
        <f>AVERAGE(0.355,0.335)</f>
        <v>0.34499999999999997</v>
      </c>
      <c r="I134" s="7">
        <f t="shared" si="17"/>
        <v>0.5</v>
      </c>
      <c r="J134" s="7">
        <f t="shared" si="18"/>
        <v>0.06</v>
      </c>
      <c r="K134" s="7">
        <v>0.46</v>
      </c>
      <c r="L134" s="7">
        <v>0</v>
      </c>
      <c r="M134" s="7">
        <v>0.38</v>
      </c>
      <c r="N13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0.33957142857142852</v>
      </c>
      <c r="O13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0.3335229579972202</v>
      </c>
      <c r="P134" s="14">
        <f>IF(data[[#This Row],[Weighted_Avg]]&lt;&gt;"", IFERROR(AVERAGE(O122,O110,O98), ""), "")</f>
        <v>0.22979907153205956</v>
      </c>
      <c r="Q134" s="14" t="b">
        <f>IF(data[[#This Row],[Date]]&gt;MAX(data[Date])-750, TRUE, FALSE)</f>
        <v>0</v>
      </c>
      <c r="R134" s="3">
        <v>0.185</v>
      </c>
      <c r="S134" s="3">
        <v>0.19500000000000001</v>
      </c>
      <c r="T134">
        <v>3.8330000000000002</v>
      </c>
    </row>
    <row r="135" spans="1:31">
      <c r="A135" s="4">
        <v>40954</v>
      </c>
      <c r="B135">
        <f>YEAR(data[[#This Row],[Date]])</f>
        <v>2012</v>
      </c>
      <c r="C135" s="6">
        <f t="shared" si="19"/>
        <v>0.66</v>
      </c>
      <c r="D135" s="7">
        <f t="shared" si="15"/>
        <v>0.35</v>
      </c>
      <c r="E135" s="7">
        <f t="shared" si="16"/>
        <v>0.16</v>
      </c>
      <c r="F135" s="7">
        <f t="shared" si="14"/>
        <v>0.13</v>
      </c>
      <c r="G135" s="19">
        <v>0.30480000000000002</v>
      </c>
      <c r="H135" s="15">
        <f>AVERAGE(0.325,0.335)</f>
        <v>0.33</v>
      </c>
      <c r="I135" s="7">
        <f t="shared" si="17"/>
        <v>0.47</v>
      </c>
      <c r="J135" s="7">
        <f t="shared" si="18"/>
        <v>0.03</v>
      </c>
      <c r="K135" s="7">
        <v>0.44</v>
      </c>
      <c r="L135" s="7">
        <v>0</v>
      </c>
      <c r="M135" s="7">
        <v>0.36</v>
      </c>
      <c r="N13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0.32211428571428569</v>
      </c>
      <c r="O13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0.3161807676335282</v>
      </c>
      <c r="P135" s="14">
        <f>IF(data[[#This Row],[Weighted_Avg]]&lt;&gt;"", IFERROR(AVERAGE(O123,O111,O99), ""), "")</f>
        <v>0.20884176655687761</v>
      </c>
      <c r="Q135" s="14" t="b">
        <f>IF(data[[#This Row],[Date]]&gt;MAX(data[Date])-750, TRUE, FALSE)</f>
        <v>0</v>
      </c>
      <c r="R135" s="3">
        <v>0.19</v>
      </c>
      <c r="S135" s="3">
        <v>0.19500000000000001</v>
      </c>
      <c r="T135">
        <v>3.9529999999999998</v>
      </c>
    </row>
    <row r="136" spans="1:31">
      <c r="A136" s="4">
        <v>40983</v>
      </c>
      <c r="B136">
        <f>YEAR(data[[#This Row],[Date]])</f>
        <v>2012</v>
      </c>
      <c r="C136" s="6">
        <f t="shared" si="19"/>
        <v>0.65</v>
      </c>
      <c r="D136" s="7">
        <f t="shared" si="15"/>
        <v>0.34</v>
      </c>
      <c r="E136" s="7">
        <f t="shared" si="16"/>
        <v>0.15</v>
      </c>
      <c r="F136" s="7">
        <f t="shared" si="14"/>
        <v>0.12</v>
      </c>
      <c r="G136" s="19">
        <v>0.29899999999999999</v>
      </c>
      <c r="H136" s="15">
        <f>AVERAGE(0.355,0.335)</f>
        <v>0.34499999999999997</v>
      </c>
      <c r="I136" s="7">
        <f t="shared" si="17"/>
        <v>0.46</v>
      </c>
      <c r="J136" s="7">
        <f t="shared" si="18"/>
        <v>0.03</v>
      </c>
      <c r="K136" s="7">
        <v>0.43</v>
      </c>
      <c r="L136" s="7">
        <v>0</v>
      </c>
      <c r="M136" s="7">
        <v>0.35</v>
      </c>
      <c r="N13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0.31771428571428567</v>
      </c>
      <c r="O13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0.31219932491325841</v>
      </c>
      <c r="P136" s="14">
        <f>IF(data[[#This Row],[Weighted_Avg]]&lt;&gt;"", IFERROR(AVERAGE(O124,O112,O100), ""), "")</f>
        <v>0.17750479417884749</v>
      </c>
      <c r="Q136" s="14" t="b">
        <f>IF(data[[#This Row],[Date]]&gt;MAX(data[Date])-750, TRUE, FALSE)</f>
        <v>0</v>
      </c>
      <c r="R136" s="3">
        <v>0.19</v>
      </c>
      <c r="S136" s="3">
        <v>0.2</v>
      </c>
      <c r="T136">
        <v>4.1269999999999998</v>
      </c>
    </row>
    <row r="137" spans="1:31">
      <c r="A137" s="4">
        <v>41014</v>
      </c>
      <c r="B137">
        <f>YEAR(data[[#This Row],[Date]])</f>
        <v>2012</v>
      </c>
      <c r="C137" s="6">
        <f t="shared" si="19"/>
        <v>0.68</v>
      </c>
      <c r="D137" s="7">
        <f t="shared" si="15"/>
        <v>0.37</v>
      </c>
      <c r="E137" s="7">
        <f t="shared" si="16"/>
        <v>0.18</v>
      </c>
      <c r="F137" s="7">
        <f t="shared" si="14"/>
        <v>0.15</v>
      </c>
      <c r="G137" s="19">
        <v>0.32200000000000001</v>
      </c>
      <c r="H137" s="15">
        <f>AVERAGE(0.38,0.395)</f>
        <v>0.38750000000000001</v>
      </c>
      <c r="I137" s="7">
        <f t="shared" si="17"/>
        <v>0.49</v>
      </c>
      <c r="J137" s="7">
        <f t="shared" si="18"/>
        <v>0.06</v>
      </c>
      <c r="K137" s="7">
        <v>0.46</v>
      </c>
      <c r="L137" s="7">
        <v>0</v>
      </c>
      <c r="M137" s="7">
        <v>0.38</v>
      </c>
      <c r="N13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0.34421428571428569</v>
      </c>
      <c r="O13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0.34054150437325625</v>
      </c>
      <c r="P137" s="14">
        <f>IF(data[[#This Row],[Weighted_Avg]]&lt;&gt;"", IFERROR(AVERAGE(O125,O113,O101), ""), "")</f>
        <v>0.18713390852715114</v>
      </c>
      <c r="Q137" s="14" t="b">
        <f>IF(data[[#This Row],[Date]]&gt;MAX(data[Date])-750, TRUE, FALSE)</f>
        <v>0</v>
      </c>
      <c r="R137" s="3">
        <v>0.19500000000000001</v>
      </c>
      <c r="S137" s="3">
        <v>0.2</v>
      </c>
      <c r="T137">
        <v>4.1150000000000002</v>
      </c>
    </row>
    <row r="138" spans="1:31">
      <c r="A138" s="4">
        <v>41044</v>
      </c>
      <c r="B138">
        <f>YEAR(data[[#This Row],[Date]])</f>
        <v>2012</v>
      </c>
      <c r="C138" s="6">
        <f t="shared" si="19"/>
        <v>0.72</v>
      </c>
      <c r="D138" s="7">
        <f t="shared" si="15"/>
        <v>0.41</v>
      </c>
      <c r="E138" s="7">
        <f t="shared" si="16"/>
        <v>0.22</v>
      </c>
      <c r="F138" s="7">
        <f t="shared" si="14"/>
        <v>0.18</v>
      </c>
      <c r="G138" s="19">
        <v>0.3508</v>
      </c>
      <c r="H138" s="15">
        <f>AVERAGE(0.39,0.395)</f>
        <v>0.39250000000000002</v>
      </c>
      <c r="I138" s="7">
        <f t="shared" si="17"/>
        <v>0.54</v>
      </c>
      <c r="J138" s="7">
        <f t="shared" si="18"/>
        <v>0.1</v>
      </c>
      <c r="K138" s="7">
        <v>0.5</v>
      </c>
      <c r="L138" s="7">
        <v>0</v>
      </c>
      <c r="M138" s="7">
        <v>0.41</v>
      </c>
      <c r="N13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0.37190000000000001</v>
      </c>
      <c r="O13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0.36777706576206387</v>
      </c>
      <c r="P138" s="14">
        <f>IF(data[[#This Row],[Weighted_Avg]]&lt;&gt;"", IFERROR(AVERAGE(O126,O114,O102), ""), "")</f>
        <v>0.21313713551563918</v>
      </c>
      <c r="Q138" s="14" t="b">
        <f>IF(data[[#This Row],[Date]]&gt;MAX(data[Date])-750, TRUE, FALSE)</f>
        <v>0</v>
      </c>
      <c r="R138" s="3">
        <v>0.19500000000000001</v>
      </c>
      <c r="S138" s="3">
        <v>0.2</v>
      </c>
      <c r="T138">
        <v>3.9790000000000001</v>
      </c>
    </row>
    <row r="139" spans="1:31">
      <c r="A139" s="4">
        <v>41075</v>
      </c>
      <c r="B139">
        <f>YEAR(data[[#This Row],[Date]])</f>
        <v>2012</v>
      </c>
      <c r="C139" s="6">
        <f t="shared" si="19"/>
        <v>0.72</v>
      </c>
      <c r="D139" s="7">
        <f t="shared" si="15"/>
        <v>0.41</v>
      </c>
      <c r="E139" s="7">
        <f t="shared" si="16"/>
        <v>0.22</v>
      </c>
      <c r="F139" s="7">
        <f t="shared" si="14"/>
        <v>0.18</v>
      </c>
      <c r="G139" s="19">
        <v>0.3508</v>
      </c>
      <c r="H139" s="15">
        <f>AVERAGE(0.38,0.365)</f>
        <v>0.3725</v>
      </c>
      <c r="I139" s="7">
        <f t="shared" si="17"/>
        <v>0.53</v>
      </c>
      <c r="J139" s="7">
        <f t="shared" si="18"/>
        <v>0.1</v>
      </c>
      <c r="K139" s="7">
        <v>0.5</v>
      </c>
      <c r="L139" s="7">
        <v>0</v>
      </c>
      <c r="M139" s="7">
        <v>0.41</v>
      </c>
      <c r="N13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0.36761428571428573</v>
      </c>
      <c r="O13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0.36362908513294762</v>
      </c>
      <c r="P139" s="14">
        <f>IF(data[[#This Row],[Weighted_Avg]]&lt;&gt;"", IFERROR(AVERAGE(O127,O115,O103), ""), "")</f>
        <v>0.23590772211777619</v>
      </c>
      <c r="Q139" s="14" t="b">
        <f>IF(data[[#This Row],[Date]]&gt;MAX(data[Date])-750, TRUE, FALSE)</f>
        <v>0</v>
      </c>
      <c r="R139" s="3">
        <v>0.2</v>
      </c>
      <c r="S139" s="3">
        <v>0.20499999999999999</v>
      </c>
      <c r="T139">
        <v>3.7589999999999999</v>
      </c>
    </row>
    <row r="140" spans="1:31">
      <c r="A140" s="4">
        <v>41105</v>
      </c>
      <c r="B140">
        <f>YEAR(data[[#This Row],[Date]])</f>
        <v>2012</v>
      </c>
      <c r="C140" s="6">
        <f t="shared" si="19"/>
        <v>0.69</v>
      </c>
      <c r="D140" s="7">
        <f t="shared" si="15"/>
        <v>0.37</v>
      </c>
      <c r="E140" s="7">
        <f t="shared" si="16"/>
        <v>0.19</v>
      </c>
      <c r="F140" s="7">
        <f t="shared" si="14"/>
        <v>0.15</v>
      </c>
      <c r="G140" s="19">
        <v>0.32200000000000001</v>
      </c>
      <c r="H140" s="15">
        <f>AVERAGE(0.34,0.31)</f>
        <v>0.32500000000000001</v>
      </c>
      <c r="I140" s="7">
        <f t="shared" si="17"/>
        <v>0.5</v>
      </c>
      <c r="J140" s="7">
        <f t="shared" si="18"/>
        <v>0.06</v>
      </c>
      <c r="K140" s="7">
        <v>0.46</v>
      </c>
      <c r="L140" s="7">
        <v>0</v>
      </c>
      <c r="M140" s="7">
        <v>0.38</v>
      </c>
      <c r="N14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0.33671428571428569</v>
      </c>
      <c r="O14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0.32994966935557146</v>
      </c>
      <c r="P140" s="14">
        <f>IF(data[[#This Row],[Weighted_Avg]]&lt;&gt;"", IFERROR(AVERAGE(O128,O116,O104), ""), "")</f>
        <v>0.23430922160128301</v>
      </c>
      <c r="Q140" s="14" t="b">
        <f>IF(data[[#This Row],[Date]]&gt;MAX(data[Date])-750, TRUE, FALSE)</f>
        <v>0</v>
      </c>
      <c r="R140" s="3">
        <v>0.2</v>
      </c>
      <c r="S140" s="3">
        <v>0.20499999999999999</v>
      </c>
      <c r="T140">
        <v>3.7210000000000001</v>
      </c>
    </row>
    <row r="141" spans="1:31">
      <c r="A141" s="4">
        <v>41136</v>
      </c>
      <c r="B141">
        <f>YEAR(data[[#This Row],[Date]])</f>
        <v>2012</v>
      </c>
      <c r="C141" s="6">
        <f t="shared" si="19"/>
        <v>0.63</v>
      </c>
      <c r="D141" s="7">
        <f t="shared" si="15"/>
        <v>0.32</v>
      </c>
      <c r="E141" s="7">
        <f t="shared" si="16"/>
        <v>0.13</v>
      </c>
      <c r="F141" s="7">
        <f t="shared" si="14"/>
        <v>0.11</v>
      </c>
      <c r="G141" s="19">
        <v>0.28179999999999999</v>
      </c>
      <c r="H141" s="15">
        <f>AVERAGE(0.295,0.315)</f>
        <v>0.30499999999999999</v>
      </c>
      <c r="I141" s="7">
        <f t="shared" si="17"/>
        <v>0.44</v>
      </c>
      <c r="J141" s="7">
        <f t="shared" si="18"/>
        <v>0.01</v>
      </c>
      <c r="K141" s="7">
        <v>0.41</v>
      </c>
      <c r="L141" s="7">
        <v>0</v>
      </c>
      <c r="M141" s="7">
        <v>0.34</v>
      </c>
      <c r="N14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0.29954285714285717</v>
      </c>
      <c r="O14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0.29260801879204568</v>
      </c>
      <c r="P141" s="14">
        <f>IF(data[[#This Row],[Weighted_Avg]]&lt;&gt;"", IFERROR(AVERAGE(O129,O117,O105), ""), "")</f>
        <v>0.23815984450381197</v>
      </c>
      <c r="Q141" s="14" t="b">
        <f>IF(data[[#This Row],[Date]]&gt;MAX(data[Date])-750, TRUE, FALSE)</f>
        <v>0</v>
      </c>
      <c r="R141" s="3">
        <v>0.20499999999999999</v>
      </c>
      <c r="S141" s="3">
        <v>0.21</v>
      </c>
      <c r="T141">
        <v>3.9830000000000001</v>
      </c>
    </row>
    <row r="142" spans="1:31">
      <c r="A142" s="4">
        <v>41167</v>
      </c>
      <c r="B142">
        <f>YEAR(data[[#This Row],[Date]])</f>
        <v>2012</v>
      </c>
      <c r="C142" s="6">
        <f t="shared" si="19"/>
        <v>0.62</v>
      </c>
      <c r="D142" s="7">
        <f t="shared" si="15"/>
        <v>0.31</v>
      </c>
      <c r="E142" s="7">
        <f t="shared" si="16"/>
        <v>0.12</v>
      </c>
      <c r="F142" s="7">
        <f t="shared" si="14"/>
        <v>0.1</v>
      </c>
      <c r="G142" s="19">
        <v>0.27600000000000002</v>
      </c>
      <c r="H142" s="15">
        <f>AVERAGE(0.33,0.365)</f>
        <v>0.34750000000000003</v>
      </c>
      <c r="I142" s="7">
        <f t="shared" si="17"/>
        <v>0.44</v>
      </c>
      <c r="J142" s="7">
        <f t="shared" si="18"/>
        <v>0</v>
      </c>
      <c r="K142" s="7">
        <v>0.4</v>
      </c>
      <c r="L142" s="7">
        <v>0</v>
      </c>
      <c r="M142" s="7">
        <v>0.33</v>
      </c>
      <c r="N14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0.30050000000000004</v>
      </c>
      <c r="O14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0.29411453994151043</v>
      </c>
      <c r="P142" s="14">
        <f>IF(data[[#This Row],[Weighted_Avg]]&lt;&gt;"", IFERROR(AVERAGE(O130,O118,O106), ""), "")</f>
        <v>0.23839090422193884</v>
      </c>
      <c r="Q142" s="14" t="b">
        <f>IF(data[[#This Row],[Date]]&gt;MAX(data[Date])-750, TRUE, FALSE)</f>
        <v>0</v>
      </c>
      <c r="R142" s="3">
        <v>0.20499999999999999</v>
      </c>
      <c r="S142" s="3">
        <v>0.21</v>
      </c>
      <c r="T142">
        <v>4.12</v>
      </c>
    </row>
    <row r="143" spans="1:31">
      <c r="A143" s="4">
        <v>41197</v>
      </c>
      <c r="B143">
        <f>YEAR(data[[#This Row],[Date]])</f>
        <v>2012</v>
      </c>
      <c r="C143" s="6">
        <f t="shared" si="19"/>
        <v>0.69</v>
      </c>
      <c r="D143" s="7">
        <f t="shared" si="15"/>
        <v>0.38</v>
      </c>
      <c r="E143" s="7">
        <f t="shared" si="16"/>
        <v>0.19</v>
      </c>
      <c r="F143" s="7">
        <f t="shared" si="14"/>
        <v>0.15</v>
      </c>
      <c r="G143" s="19">
        <v>0.32779999999999998</v>
      </c>
      <c r="H143" s="15">
        <f>AVERAGE(0.39,0.39)</f>
        <v>0.39</v>
      </c>
      <c r="I143" s="7">
        <f t="shared" si="17"/>
        <v>0.5</v>
      </c>
      <c r="J143" s="7">
        <f t="shared" si="18"/>
        <v>0.06</v>
      </c>
      <c r="K143" s="7">
        <v>0.47</v>
      </c>
      <c r="L143" s="7">
        <v>0</v>
      </c>
      <c r="M143" s="7">
        <v>0.38</v>
      </c>
      <c r="N14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0.34968571428571427</v>
      </c>
      <c r="O14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0.34600677159789595</v>
      </c>
      <c r="P143" s="14">
        <f>IF(data[[#This Row],[Weighted_Avg]]&lt;&gt;"", IFERROR(AVERAGE(O131,O119,O107), ""), "")</f>
        <v>0.24278091888505116</v>
      </c>
      <c r="Q143" s="14" t="b">
        <f>IF(data[[#This Row],[Date]]&gt;MAX(data[Date])-750, TRUE, FALSE)</f>
        <v>0</v>
      </c>
      <c r="R143" s="3">
        <v>0.21</v>
      </c>
      <c r="S143" s="3">
        <v>0.215</v>
      </c>
      <c r="T143">
        <v>4.0940000000000003</v>
      </c>
    </row>
    <row r="144" spans="1:31">
      <c r="A144" s="4">
        <v>41228</v>
      </c>
      <c r="B144">
        <f>YEAR(data[[#This Row],[Date]])</f>
        <v>2012</v>
      </c>
      <c r="C144" s="6">
        <f t="shared" si="19"/>
        <v>0.72</v>
      </c>
      <c r="D144" s="7">
        <f t="shared" si="15"/>
        <v>0.41</v>
      </c>
      <c r="E144" s="7">
        <f t="shared" si="16"/>
        <v>0.22</v>
      </c>
      <c r="F144" s="7">
        <f t="shared" si="14"/>
        <v>0.18</v>
      </c>
      <c r="G144" s="19">
        <v>0.3508</v>
      </c>
      <c r="H144" s="15">
        <f>AVERAGE(0.385,0.395)</f>
        <v>0.39</v>
      </c>
      <c r="I144" s="7">
        <f t="shared" si="17"/>
        <v>0.54</v>
      </c>
      <c r="J144" s="7">
        <f t="shared" si="18"/>
        <v>0.1</v>
      </c>
      <c r="K144" s="7">
        <v>0.5</v>
      </c>
      <c r="L144" s="7">
        <v>0</v>
      </c>
      <c r="M144" s="7">
        <v>0.41</v>
      </c>
      <c r="N14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0.37154285714285712</v>
      </c>
      <c r="O14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0.36733040468185779</v>
      </c>
      <c r="P144" s="14">
        <f>IF(data[[#This Row],[Weighted_Avg]]&lt;&gt;"", IFERROR(AVERAGE(O132,O120,O108), ""), "")</f>
        <v>0.23994694729407515</v>
      </c>
      <c r="Q144" s="14" t="b">
        <f>IF(data[[#This Row],[Date]]&gt;MAX(data[Date])-750, TRUE, FALSE)</f>
        <v>0</v>
      </c>
      <c r="R144" s="3">
        <v>0.21</v>
      </c>
      <c r="S144" s="3">
        <v>0.215</v>
      </c>
      <c r="T144">
        <v>4</v>
      </c>
    </row>
    <row r="145" spans="1:20">
      <c r="A145" s="4">
        <v>41258</v>
      </c>
      <c r="B145">
        <f>YEAR(data[[#This Row],[Date]])</f>
        <v>2012</v>
      </c>
      <c r="C145" s="6">
        <f t="shared" si="19"/>
        <v>0.72</v>
      </c>
      <c r="D145" s="7">
        <f t="shared" si="15"/>
        <v>0.4</v>
      </c>
      <c r="E145" s="7">
        <f t="shared" si="16"/>
        <v>0.22</v>
      </c>
      <c r="F145" s="7">
        <f t="shared" si="14"/>
        <v>0.17</v>
      </c>
      <c r="G145" s="19">
        <v>0.34499999999999997</v>
      </c>
      <c r="H145" s="15">
        <f>AVERAGE(0.36,0.37)</f>
        <v>0.36499999999999999</v>
      </c>
      <c r="I145" s="7">
        <f t="shared" si="17"/>
        <v>0.53</v>
      </c>
      <c r="J145" s="7">
        <f t="shared" si="18"/>
        <v>0.09</v>
      </c>
      <c r="K145" s="7">
        <v>0.49</v>
      </c>
      <c r="L145" s="7">
        <v>0</v>
      </c>
      <c r="M145" s="7">
        <v>0.4</v>
      </c>
      <c r="N14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0.36142857142857138</v>
      </c>
      <c r="O14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0.35620238467829057</v>
      </c>
      <c r="P145" s="14">
        <f>IF(data[[#This Row],[Weighted_Avg]]&lt;&gt;"", IFERROR(AVERAGE(O133,O121,O109), ""), "")</f>
        <v>0.25197261545533567</v>
      </c>
      <c r="Q145" s="14" t="b">
        <f>IF(data[[#This Row],[Date]]&gt;MAX(data[Date])-750, TRUE, FALSE)</f>
        <v>0</v>
      </c>
      <c r="R145" s="3">
        <v>0.215</v>
      </c>
      <c r="S145" s="3">
        <v>0.22</v>
      </c>
      <c r="T145">
        <v>3.9609999999999999</v>
      </c>
    </row>
    <row r="146" spans="1:20">
      <c r="A146" s="4">
        <v>41289</v>
      </c>
      <c r="B146">
        <f>YEAR(data[[#This Row],[Date]])</f>
        <v>2013</v>
      </c>
      <c r="C146" s="6">
        <f t="shared" si="19"/>
        <v>0.69</v>
      </c>
      <c r="D146" s="7">
        <f t="shared" si="15"/>
        <v>0.38</v>
      </c>
      <c r="E146" s="7">
        <f t="shared" si="16"/>
        <v>0.19</v>
      </c>
      <c r="F146" s="7">
        <f t="shared" si="14"/>
        <v>0.16</v>
      </c>
      <c r="G146" s="19">
        <v>0.32779999999999998</v>
      </c>
      <c r="H146" s="15">
        <f>AVERAGE(0.37,0.355)</f>
        <v>0.36249999999999999</v>
      </c>
      <c r="I146" s="7">
        <f t="shared" si="17"/>
        <v>0.51</v>
      </c>
      <c r="J146" s="7">
        <f t="shared" si="18"/>
        <v>7.0000000000000007E-2</v>
      </c>
      <c r="K146" s="7">
        <v>0.47</v>
      </c>
      <c r="L146" s="7">
        <v>0</v>
      </c>
      <c r="M146" s="7">
        <v>0.39</v>
      </c>
      <c r="N14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0.34861428571428571</v>
      </c>
      <c r="O14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0.34394637376302262</v>
      </c>
      <c r="P146" s="14">
        <f>IF(data[[#This Row],[Weighted_Avg]]&lt;&gt;"", IFERROR(AVERAGE(O134,O122,O110), ""), "")</f>
        <v>0.27316039036376011</v>
      </c>
      <c r="Q146" s="14" t="b">
        <f>IF(data[[#This Row],[Date]]&gt;MAX(data[Date])-750, TRUE, FALSE)</f>
        <v>0</v>
      </c>
      <c r="R146" s="3">
        <v>0.215</v>
      </c>
      <c r="S146" s="3">
        <v>0.22</v>
      </c>
      <c r="T146">
        <v>3.9089999999999998</v>
      </c>
    </row>
    <row r="147" spans="1:20">
      <c r="A147" s="4">
        <v>41320</v>
      </c>
      <c r="B147">
        <f>YEAR(data[[#This Row],[Date]])</f>
        <v>2013</v>
      </c>
      <c r="C147" s="6">
        <f t="shared" si="19"/>
        <v>0.68</v>
      </c>
      <c r="D147" s="7">
        <f t="shared" si="15"/>
        <v>0.37</v>
      </c>
      <c r="E147" s="7">
        <f t="shared" si="16"/>
        <v>0.18</v>
      </c>
      <c r="F147" s="7">
        <f t="shared" ref="F147:F210" si="20">IF(T145&gt;3.25, ROUNDDOWN((T145-3.25)/0.05, 0)+1, 0)/100</f>
        <v>0.15</v>
      </c>
      <c r="G147" s="19">
        <v>0.32200000000000001</v>
      </c>
      <c r="H147" s="15">
        <f>AVERAGE(0.35,0.345)</f>
        <v>0.34749999999999998</v>
      </c>
      <c r="I147" s="7">
        <f t="shared" si="17"/>
        <v>0.5</v>
      </c>
      <c r="J147" s="7">
        <f t="shared" si="18"/>
        <v>0.06</v>
      </c>
      <c r="K147" s="7">
        <v>0.46</v>
      </c>
      <c r="L147" s="7">
        <v>0</v>
      </c>
      <c r="M147" s="7">
        <v>0.38</v>
      </c>
      <c r="N14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0.33992857142857141</v>
      </c>
      <c r="O14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0.33452457033572519</v>
      </c>
      <c r="P147" s="14">
        <f>IF(data[[#This Row],[Weighted_Avg]]&lt;&gt;"", IFERROR(AVERAGE(O135,O123,O111), ""), "")</f>
        <v>0.27285293936242255</v>
      </c>
      <c r="Q147" s="14" t="b">
        <f>IF(data[[#This Row],[Date]]&gt;MAX(data[Date])-750, TRUE, FALSE)</f>
        <v>0</v>
      </c>
      <c r="R147" s="3">
        <v>0.22</v>
      </c>
      <c r="S147" s="3">
        <v>0.22500000000000001</v>
      </c>
      <c r="T147">
        <v>4.1109999999999998</v>
      </c>
    </row>
    <row r="148" spans="1:20">
      <c r="A148" s="4">
        <v>41348</v>
      </c>
      <c r="B148">
        <f>YEAR(data[[#This Row],[Date]])</f>
        <v>2013</v>
      </c>
      <c r="C148" s="6">
        <f t="shared" si="19"/>
        <v>0.67</v>
      </c>
      <c r="D148" s="7">
        <f t="shared" si="15"/>
        <v>0.36</v>
      </c>
      <c r="E148" s="7">
        <f t="shared" si="16"/>
        <v>0.17</v>
      </c>
      <c r="F148" s="7">
        <f t="shared" si="20"/>
        <v>0.14000000000000001</v>
      </c>
      <c r="G148" s="19">
        <v>0.3105</v>
      </c>
      <c r="H148" s="15">
        <f>AVERAGE(0.36,0.395)</f>
        <v>0.3775</v>
      </c>
      <c r="I148" s="7">
        <f t="shared" si="17"/>
        <v>0.48</v>
      </c>
      <c r="J148" s="7">
        <f t="shared" si="18"/>
        <v>0.04</v>
      </c>
      <c r="K148" s="7">
        <v>0.45</v>
      </c>
      <c r="L148" s="7">
        <v>0</v>
      </c>
      <c r="M148" s="7">
        <v>0.37</v>
      </c>
      <c r="N14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0.33542857142857141</v>
      </c>
      <c r="O14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0.33249563878508454</v>
      </c>
      <c r="P148" s="14">
        <f>IF(data[[#This Row],[Weighted_Avg]]&lt;&gt;"", IFERROR(AVERAGE(O136,O124,O112), ""), "")</f>
        <v>0.25095731037908503</v>
      </c>
      <c r="Q148" s="14" t="b">
        <f>IF(data[[#This Row],[Date]]&gt;MAX(data[Date])-750, TRUE, FALSE)</f>
        <v>0</v>
      </c>
      <c r="R148" s="3">
        <v>0.22500000000000001</v>
      </c>
      <c r="S148" s="3">
        <v>0.22500000000000001</v>
      </c>
      <c r="T148">
        <v>4.0679999999999996</v>
      </c>
    </row>
    <row r="149" spans="1:20">
      <c r="A149" s="4">
        <v>41379</v>
      </c>
      <c r="B149">
        <f>YEAR(data[[#This Row],[Date]])</f>
        <v>2013</v>
      </c>
      <c r="C149" s="6">
        <f t="shared" si="19"/>
        <v>0.72</v>
      </c>
      <c r="D149" s="7">
        <f t="shared" si="15"/>
        <v>0.41</v>
      </c>
      <c r="E149" s="7">
        <f t="shared" si="16"/>
        <v>0.22</v>
      </c>
      <c r="F149" s="7">
        <f t="shared" si="20"/>
        <v>0.18</v>
      </c>
      <c r="G149" s="19">
        <v>0.3508</v>
      </c>
      <c r="H149" s="15">
        <f>AVERAGE(0.375,0.395)</f>
        <v>0.38500000000000001</v>
      </c>
      <c r="I149" s="7">
        <f t="shared" si="17"/>
        <v>0.53</v>
      </c>
      <c r="J149" s="7">
        <f t="shared" si="18"/>
        <v>0.1</v>
      </c>
      <c r="K149" s="7">
        <v>0.5</v>
      </c>
      <c r="L149" s="7">
        <v>0</v>
      </c>
      <c r="M149" s="7">
        <v>0.41</v>
      </c>
      <c r="N14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0.36940000000000001</v>
      </c>
      <c r="O14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0.3663687562291571</v>
      </c>
      <c r="P149" s="14">
        <f>IF(data[[#This Row],[Weighted_Avg]]&lt;&gt;"", IFERROR(AVERAGE(O137,O125,O113), ""), "")</f>
        <v>0.27406060456347192</v>
      </c>
      <c r="Q149" s="14" t="b">
        <f>IF(data[[#This Row],[Date]]&gt;MAX(data[Date])-750, TRUE, FALSE)</f>
        <v>0</v>
      </c>
      <c r="R149" s="3">
        <v>0.22500000000000001</v>
      </c>
      <c r="S149" s="3">
        <v>0.23</v>
      </c>
      <c r="T149">
        <v>3.93</v>
      </c>
    </row>
    <row r="150" spans="1:20">
      <c r="A150" s="4">
        <v>41409</v>
      </c>
      <c r="B150">
        <f>YEAR(data[[#This Row],[Date]])</f>
        <v>2013</v>
      </c>
      <c r="C150" s="6">
        <f t="shared" si="19"/>
        <v>0.71</v>
      </c>
      <c r="D150" s="7">
        <f t="shared" si="15"/>
        <v>0.4</v>
      </c>
      <c r="E150" s="7">
        <f t="shared" si="16"/>
        <v>0.21</v>
      </c>
      <c r="F150" s="7">
        <f t="shared" si="20"/>
        <v>0.17</v>
      </c>
      <c r="G150" s="19">
        <v>0.33929999999999999</v>
      </c>
      <c r="H150" s="15">
        <f>AVERAGE(0.365,0.35)</f>
        <v>0.35749999999999998</v>
      </c>
      <c r="I150" s="7">
        <f t="shared" si="17"/>
        <v>0.52</v>
      </c>
      <c r="J150" s="7">
        <f t="shared" si="18"/>
        <v>0.08</v>
      </c>
      <c r="K150" s="7">
        <v>0.49</v>
      </c>
      <c r="L150" s="7">
        <v>0</v>
      </c>
      <c r="M150" s="7">
        <v>0.4</v>
      </c>
      <c r="N15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0.35811428571428566</v>
      </c>
      <c r="O15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0.35373736993448346</v>
      </c>
      <c r="P150" s="14">
        <f>IF(data[[#This Row],[Weighted_Avg]]&lt;&gt;"", IFERROR(AVERAGE(O138,O126,O114), ""), "")</f>
        <v>0.31172318647399622</v>
      </c>
      <c r="Q150" s="14" t="b">
        <f>IF(data[[#This Row],[Date]]&gt;MAX(data[Date])-750, TRUE, FALSE)</f>
        <v>0</v>
      </c>
      <c r="R150" s="3">
        <v>0.23</v>
      </c>
      <c r="S150" s="3">
        <v>0.23</v>
      </c>
      <c r="T150">
        <v>3.87</v>
      </c>
    </row>
    <row r="151" spans="1:20">
      <c r="A151" s="4">
        <v>41440</v>
      </c>
      <c r="B151">
        <f>YEAR(data[[#This Row],[Date]])</f>
        <v>2013</v>
      </c>
      <c r="C151" s="6">
        <f t="shared" si="19"/>
        <v>0.68</v>
      </c>
      <c r="D151" s="7">
        <f t="shared" si="15"/>
        <v>0.36</v>
      </c>
      <c r="E151" s="7">
        <f t="shared" si="16"/>
        <v>0.18</v>
      </c>
      <c r="F151" s="7">
        <f t="shared" si="20"/>
        <v>0.14000000000000001</v>
      </c>
      <c r="G151" s="19">
        <v>0.31630000000000003</v>
      </c>
      <c r="H151" s="15">
        <f>AVERAGE(0.335,0.34)</f>
        <v>0.33750000000000002</v>
      </c>
      <c r="I151" s="7">
        <f t="shared" si="17"/>
        <v>0.49</v>
      </c>
      <c r="J151" s="7">
        <f t="shared" si="18"/>
        <v>0.05</v>
      </c>
      <c r="K151" s="7">
        <v>0.45</v>
      </c>
      <c r="L151" s="7">
        <v>0</v>
      </c>
      <c r="M151" s="7">
        <v>0.37</v>
      </c>
      <c r="N15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0.33197142857142853</v>
      </c>
      <c r="O15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0.32609202746588767</v>
      </c>
      <c r="P151" s="14">
        <f>IF(data[[#This Row],[Weighted_Avg]]&lt;&gt;"", IFERROR(AVERAGE(O139,O127,O115), ""), "")</f>
        <v>0.32908432618367717</v>
      </c>
      <c r="Q151" s="14" t="b">
        <f>IF(data[[#This Row],[Date]]&gt;MAX(data[Date])-750, TRUE, FALSE)</f>
        <v>0</v>
      </c>
      <c r="R151" s="3">
        <v>0.23</v>
      </c>
      <c r="S151" s="3">
        <v>0.23499999999999999</v>
      </c>
      <c r="T151">
        <v>3.8490000000000002</v>
      </c>
    </row>
    <row r="152" spans="1:20">
      <c r="A152" s="4">
        <v>41470</v>
      </c>
      <c r="B152">
        <f>YEAR(data[[#This Row],[Date]])</f>
        <v>2013</v>
      </c>
      <c r="C152" s="6">
        <f t="shared" si="19"/>
        <v>0.66</v>
      </c>
      <c r="D152" s="7">
        <f t="shared" si="15"/>
        <v>0.35</v>
      </c>
      <c r="E152" s="7">
        <f t="shared" si="16"/>
        <v>0.16</v>
      </c>
      <c r="F152" s="7">
        <f t="shared" si="20"/>
        <v>0.13</v>
      </c>
      <c r="G152" s="19">
        <v>0.30480000000000002</v>
      </c>
      <c r="H152" s="15">
        <f>AVERAGE(0.335,0.34)</f>
        <v>0.33750000000000002</v>
      </c>
      <c r="I152" s="7">
        <f t="shared" si="17"/>
        <v>0.47</v>
      </c>
      <c r="J152" s="7">
        <f t="shared" si="18"/>
        <v>0.04</v>
      </c>
      <c r="K152" s="7">
        <v>0.44</v>
      </c>
      <c r="L152" s="7">
        <v>0</v>
      </c>
      <c r="M152" s="7">
        <v>0.36</v>
      </c>
      <c r="N15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0.32318571428571424</v>
      </c>
      <c r="O15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0.31820860759511788</v>
      </c>
      <c r="P152" s="14">
        <f>IF(data[[#This Row],[Weighted_Avg]]&lt;&gt;"", IFERROR(AVERAGE(O140,O128,O116), ""), "")</f>
        <v>0.31283758387119209</v>
      </c>
      <c r="Q152" s="14" t="b">
        <f>IF(data[[#This Row],[Date]]&gt;MAX(data[Date])-750, TRUE, FALSE)</f>
        <v>0</v>
      </c>
      <c r="R152" s="3">
        <v>0.23499999999999999</v>
      </c>
      <c r="S152" s="3">
        <v>0.23499999999999999</v>
      </c>
      <c r="T152">
        <v>3.8660000000000001</v>
      </c>
    </row>
    <row r="153" spans="1:20">
      <c r="A153" s="4">
        <v>41501</v>
      </c>
      <c r="B153">
        <f>YEAR(data[[#This Row],[Date]])</f>
        <v>2013</v>
      </c>
      <c r="C153" s="6">
        <f t="shared" si="19"/>
        <v>0.65</v>
      </c>
      <c r="D153" s="7">
        <f t="shared" si="15"/>
        <v>0.34</v>
      </c>
      <c r="E153" s="7">
        <f t="shared" si="16"/>
        <v>0.15</v>
      </c>
      <c r="F153" s="7">
        <f t="shared" si="20"/>
        <v>0.12</v>
      </c>
      <c r="G153" s="19">
        <v>0.29899999999999999</v>
      </c>
      <c r="H153" s="15">
        <f>AVERAGE(0.33,0.345)</f>
        <v>0.33750000000000002</v>
      </c>
      <c r="I153" s="7">
        <f t="shared" si="17"/>
        <v>0.47</v>
      </c>
      <c r="J153" s="7">
        <f t="shared" si="18"/>
        <v>0.03</v>
      </c>
      <c r="K153" s="7">
        <v>0.43</v>
      </c>
      <c r="L153" s="7">
        <v>0</v>
      </c>
      <c r="M153" s="7">
        <v>0.35</v>
      </c>
      <c r="N15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0.31807142857142851</v>
      </c>
      <c r="O15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0.3123326961974327</v>
      </c>
      <c r="P153" s="14">
        <f>IF(data[[#This Row],[Weighted_Avg]]&lt;&gt;"", IFERROR(AVERAGE(O141,O129,O117), ""), "")</f>
        <v>0.28621488395576949</v>
      </c>
      <c r="Q153" s="14" t="b">
        <f>IF(data[[#This Row],[Date]]&gt;MAX(data[Date])-750, TRUE, FALSE)</f>
        <v>0</v>
      </c>
      <c r="R153" s="3">
        <v>0.24</v>
      </c>
      <c r="S153" s="3">
        <v>0.24</v>
      </c>
      <c r="T153">
        <v>3.9049999999999998</v>
      </c>
    </row>
    <row r="154" spans="1:20">
      <c r="A154" s="4">
        <v>41532</v>
      </c>
      <c r="B154">
        <f>YEAR(data[[#This Row],[Date]])</f>
        <v>2013</v>
      </c>
      <c r="C154" s="6">
        <f t="shared" si="19"/>
        <v>0.66</v>
      </c>
      <c r="D154" s="7">
        <f t="shared" si="15"/>
        <v>0.35</v>
      </c>
      <c r="E154" s="7">
        <f t="shared" si="16"/>
        <v>0.16</v>
      </c>
      <c r="F154" s="7">
        <f t="shared" si="20"/>
        <v>0.13</v>
      </c>
      <c r="G154" s="19">
        <v>0.30480000000000002</v>
      </c>
      <c r="H154" s="15">
        <f>AVERAGE(0.35,0.345)</f>
        <v>0.34749999999999998</v>
      </c>
      <c r="I154" s="7">
        <f t="shared" si="17"/>
        <v>0.47</v>
      </c>
      <c r="J154" s="7">
        <f t="shared" si="18"/>
        <v>0.03</v>
      </c>
      <c r="K154" s="7">
        <v>0.44</v>
      </c>
      <c r="L154" s="7">
        <v>0</v>
      </c>
      <c r="M154" s="7">
        <v>0.36</v>
      </c>
      <c r="N15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0.32461428571428569</v>
      </c>
      <c r="O15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0.32016010370182757</v>
      </c>
      <c r="P154" s="14">
        <f>IF(data[[#This Row],[Weighted_Avg]]&lt;&gt;"", IFERROR(AVERAGE(O142,O130,O118), ""), "")</f>
        <v>0.28462080616043339</v>
      </c>
      <c r="Q154" s="14" t="b">
        <f>IF(data[[#This Row],[Date]]&gt;MAX(data[Date])-750, TRUE, FALSE)</f>
        <v>0</v>
      </c>
      <c r="R154" s="3">
        <v>0.24</v>
      </c>
      <c r="S154" s="3">
        <v>0.24</v>
      </c>
      <c r="T154">
        <v>3.9609999999999999</v>
      </c>
    </row>
    <row r="155" spans="1:20">
      <c r="A155" s="4">
        <v>41562</v>
      </c>
      <c r="B155">
        <f>YEAR(data[[#This Row],[Date]])</f>
        <v>2013</v>
      </c>
      <c r="C155" s="6">
        <f t="shared" si="19"/>
        <v>0.67</v>
      </c>
      <c r="D155" s="7">
        <f t="shared" si="15"/>
        <v>0.36</v>
      </c>
      <c r="E155" s="7">
        <f t="shared" si="16"/>
        <v>0.17</v>
      </c>
      <c r="F155" s="7">
        <f t="shared" si="20"/>
        <v>0.14000000000000001</v>
      </c>
      <c r="G155" s="19">
        <v>0.3105</v>
      </c>
      <c r="H155" s="15">
        <f>AVERAGE(0.36,0.365)</f>
        <v>0.36249999999999999</v>
      </c>
      <c r="I155" s="7">
        <f t="shared" si="17"/>
        <v>0.48</v>
      </c>
      <c r="J155" s="7">
        <f t="shared" si="18"/>
        <v>0.04</v>
      </c>
      <c r="K155" s="7">
        <v>0.45</v>
      </c>
      <c r="L155" s="7">
        <v>0</v>
      </c>
      <c r="M155" s="7">
        <v>0.37</v>
      </c>
      <c r="N15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0.33328571428571424</v>
      </c>
      <c r="O15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0.32956839462501997</v>
      </c>
      <c r="P155" s="14">
        <f>IF(data[[#This Row],[Weighted_Avg]]&lt;&gt;"", IFERROR(AVERAGE(O143,O131,O119), ""), "")</f>
        <v>0.30147591584534755</v>
      </c>
      <c r="Q155" s="14" t="b">
        <f>IF(data[[#This Row],[Date]]&gt;MAX(data[Date])-750, TRUE, FALSE)</f>
        <v>0</v>
      </c>
      <c r="R155" s="3">
        <v>0.245</v>
      </c>
      <c r="S155" s="3">
        <v>0.245</v>
      </c>
      <c r="T155">
        <v>3.8849999999999998</v>
      </c>
    </row>
    <row r="156" spans="1:20">
      <c r="A156" s="4">
        <v>41593</v>
      </c>
      <c r="B156">
        <f>YEAR(data[[#This Row],[Date]])</f>
        <v>2013</v>
      </c>
      <c r="C156" s="6">
        <f t="shared" si="19"/>
        <v>0.68</v>
      </c>
      <c r="D156" s="7">
        <f t="shared" si="15"/>
        <v>0.37</v>
      </c>
      <c r="E156" s="7">
        <f t="shared" si="16"/>
        <v>0.18</v>
      </c>
      <c r="F156" s="7">
        <f t="shared" si="20"/>
        <v>0.15</v>
      </c>
      <c r="G156" s="19">
        <v>0.32200000000000001</v>
      </c>
      <c r="H156" s="15">
        <f>AVERAGE(0.35,0.345)</f>
        <v>0.34749999999999998</v>
      </c>
      <c r="I156" s="7">
        <f t="shared" si="17"/>
        <v>0.5</v>
      </c>
      <c r="J156" s="7">
        <f t="shared" si="18"/>
        <v>0.06</v>
      </c>
      <c r="K156" s="7">
        <v>0.46</v>
      </c>
      <c r="L156" s="7">
        <v>0</v>
      </c>
      <c r="M156" s="7">
        <v>0.38</v>
      </c>
      <c r="N15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0.33992857142857141</v>
      </c>
      <c r="O15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0.33452457033572519</v>
      </c>
      <c r="P156" s="14">
        <f>IF(data[[#This Row],[Weighted_Avg]]&lt;&gt;"", IFERROR(AVERAGE(O144,O132,O120), ""), "")</f>
        <v>0.30599892899386222</v>
      </c>
      <c r="Q156" s="14" t="b">
        <f>IF(data[[#This Row],[Date]]&gt;MAX(data[Date])-750, TRUE, FALSE)</f>
        <v>0</v>
      </c>
      <c r="R156" s="3">
        <v>0.245</v>
      </c>
      <c r="S156" s="3">
        <v>0.25</v>
      </c>
      <c r="T156">
        <v>3.839</v>
      </c>
    </row>
    <row r="157" spans="1:20">
      <c r="A157" s="4">
        <v>41623</v>
      </c>
      <c r="B157">
        <f>YEAR(data[[#This Row],[Date]])</f>
        <v>2013</v>
      </c>
      <c r="C157" s="6">
        <f t="shared" si="19"/>
        <v>0.66</v>
      </c>
      <c r="D157" s="7">
        <f t="shared" si="15"/>
        <v>0.35</v>
      </c>
      <c r="E157" s="7">
        <f t="shared" si="16"/>
        <v>0.16</v>
      </c>
      <c r="F157" s="7">
        <f t="shared" si="20"/>
        <v>0.13</v>
      </c>
      <c r="G157" s="19">
        <v>0.30480000000000002</v>
      </c>
      <c r="H157" s="15">
        <f>AVERAGE(0.34,0.33)</f>
        <v>0.33500000000000002</v>
      </c>
      <c r="I157" s="7">
        <f t="shared" si="17"/>
        <v>0.48</v>
      </c>
      <c r="J157" s="7">
        <f t="shared" si="18"/>
        <v>0.04</v>
      </c>
      <c r="K157" s="7">
        <v>0.44</v>
      </c>
      <c r="L157" s="7">
        <v>0</v>
      </c>
      <c r="M157" s="7">
        <v>0.36</v>
      </c>
      <c r="N15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0.32425714285714285</v>
      </c>
      <c r="O15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0.31833938143798823</v>
      </c>
      <c r="P157" s="14">
        <f>IF(data[[#This Row],[Weighted_Avg]]&lt;&gt;"", IFERROR(AVERAGE(O145,O133,O121), ""), "")</f>
        <v>0.30982817329058593</v>
      </c>
      <c r="Q157" s="14" t="b">
        <f>IF(data[[#This Row],[Date]]&gt;MAX(data[Date])-750, TRUE, FALSE)</f>
        <v>0</v>
      </c>
      <c r="R157" s="3">
        <v>0.25</v>
      </c>
      <c r="S157" s="3">
        <v>0.25</v>
      </c>
      <c r="T157">
        <v>3.8820000000000001</v>
      </c>
    </row>
    <row r="158" spans="1:20">
      <c r="A158" s="4">
        <v>41654</v>
      </c>
      <c r="B158">
        <f>YEAR(data[[#This Row],[Date]])</f>
        <v>2014</v>
      </c>
      <c r="C158" s="6">
        <f t="shared" si="19"/>
        <v>0.65</v>
      </c>
      <c r="D158" s="7">
        <f t="shared" si="15"/>
        <v>0.34</v>
      </c>
      <c r="E158" s="7">
        <f t="shared" si="16"/>
        <v>0.15</v>
      </c>
      <c r="F158" s="7">
        <f t="shared" si="20"/>
        <v>0.12</v>
      </c>
      <c r="G158" s="19">
        <v>0.29899999999999999</v>
      </c>
      <c r="H158" s="15">
        <f>AVERAGE(0.34,0.34)</f>
        <v>0.34</v>
      </c>
      <c r="I158" s="7">
        <f t="shared" si="17"/>
        <v>0.46</v>
      </c>
      <c r="J158" s="7">
        <f t="shared" si="18"/>
        <v>0.03</v>
      </c>
      <c r="K158" s="7">
        <v>0.43</v>
      </c>
      <c r="L158" s="7">
        <v>0</v>
      </c>
      <c r="M158" s="7">
        <v>0.35</v>
      </c>
      <c r="N15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0.317</v>
      </c>
      <c r="O15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0.31341985679452145</v>
      </c>
      <c r="P158" s="14">
        <f>IF(data[[#This Row],[Weighted_Avg]]&lt;&gt;"", IFERROR(AVERAGE(O146,O134,O122), ""), "")</f>
        <v>0.31984417218333966</v>
      </c>
      <c r="Q158" s="14" t="b">
        <f>IF(data[[#This Row],[Date]]&gt;MAX(data[Date])-750, TRUE, FALSE)</f>
        <v>0</v>
      </c>
      <c r="R158" s="3">
        <v>0.255</v>
      </c>
      <c r="S158" s="3">
        <v>0.255</v>
      </c>
      <c r="T158">
        <v>3.8929999999999998</v>
      </c>
    </row>
    <row r="159" spans="1:20">
      <c r="A159" s="4">
        <v>41685</v>
      </c>
      <c r="B159">
        <f>YEAR(data[[#This Row],[Date]])</f>
        <v>2014</v>
      </c>
      <c r="C159" s="6">
        <f t="shared" si="19"/>
        <v>0.66</v>
      </c>
      <c r="D159" s="7">
        <f t="shared" si="15"/>
        <v>0.35</v>
      </c>
      <c r="E159" s="7">
        <f t="shared" si="16"/>
        <v>0.16</v>
      </c>
      <c r="F159" s="7">
        <f t="shared" si="20"/>
        <v>0.13</v>
      </c>
      <c r="G159" s="19">
        <v>0.30480000000000002</v>
      </c>
      <c r="H159" s="15">
        <f>AVERAGE(0.35,0.34)</f>
        <v>0.34499999999999997</v>
      </c>
      <c r="I159" s="7">
        <f t="shared" si="17"/>
        <v>0.48</v>
      </c>
      <c r="J159" s="7">
        <f t="shared" si="18"/>
        <v>0.04</v>
      </c>
      <c r="K159" s="7">
        <v>0.44</v>
      </c>
      <c r="L159" s="7">
        <v>0</v>
      </c>
      <c r="M159" s="7">
        <v>0.36</v>
      </c>
      <c r="N15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0.32568571428571425</v>
      </c>
      <c r="O15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0.32161061365663257</v>
      </c>
      <c r="P159" s="14">
        <f>IF(data[[#This Row],[Weighted_Avg]]&lt;&gt;"", IFERROR(AVERAGE(O147,O135,O123), ""), "")</f>
        <v>0.31789233133740291</v>
      </c>
      <c r="Q159" s="14" t="b">
        <f>IF(data[[#This Row],[Date]]&gt;MAX(data[Date])-750, TRUE, FALSE)</f>
        <v>0</v>
      </c>
      <c r="R159" s="3">
        <v>0.255</v>
      </c>
      <c r="S159" s="3">
        <v>0.26</v>
      </c>
      <c r="T159">
        <v>3.984</v>
      </c>
    </row>
    <row r="160" spans="1:20">
      <c r="A160" s="4">
        <v>41713</v>
      </c>
      <c r="B160">
        <f>YEAR(data[[#This Row],[Date]])</f>
        <v>2014</v>
      </c>
      <c r="C160" s="6">
        <f t="shared" si="19"/>
        <v>0.67</v>
      </c>
      <c r="D160" s="7">
        <f t="shared" si="15"/>
        <v>0.35</v>
      </c>
      <c r="E160" s="7">
        <f t="shared" si="16"/>
        <v>0.17</v>
      </c>
      <c r="F160" s="7">
        <f t="shared" si="20"/>
        <v>0.13</v>
      </c>
      <c r="G160" s="19">
        <v>0.3105</v>
      </c>
      <c r="H160" s="15">
        <f>AVERAGE(0.35,0.365)</f>
        <v>0.35749999999999998</v>
      </c>
      <c r="I160" s="7">
        <f t="shared" si="17"/>
        <v>0.48</v>
      </c>
      <c r="J160" s="7">
        <f t="shared" si="18"/>
        <v>0.04</v>
      </c>
      <c r="K160" s="7">
        <v>0.44</v>
      </c>
      <c r="L160" s="7">
        <v>0</v>
      </c>
      <c r="M160" s="7">
        <v>0.36</v>
      </c>
      <c r="N16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0.32828571428571429</v>
      </c>
      <c r="O16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0.32462075418473169</v>
      </c>
      <c r="P160" s="14">
        <f>IF(data[[#This Row],[Weighted_Avg]]&lt;&gt;"", IFERROR(AVERAGE(O148,O136,O124), ""), "")</f>
        <v>0.29052900874913523</v>
      </c>
      <c r="Q160" s="14" t="b">
        <f>IF(data[[#This Row],[Date]]&gt;MAX(data[Date])-750, TRUE, FALSE)</f>
        <v>0</v>
      </c>
      <c r="R160" s="3">
        <v>0.26500000000000001</v>
      </c>
      <c r="S160" s="3">
        <v>0.26</v>
      </c>
      <c r="T160">
        <v>4.0010000000000003</v>
      </c>
    </row>
    <row r="161" spans="1:30">
      <c r="A161" s="4">
        <v>41744</v>
      </c>
      <c r="B161">
        <f>YEAR(data[[#This Row],[Date]])</f>
        <v>2014</v>
      </c>
      <c r="C161" s="6">
        <f t="shared" si="19"/>
        <v>0.69</v>
      </c>
      <c r="D161" s="7">
        <f t="shared" si="15"/>
        <v>0.38</v>
      </c>
      <c r="E161" s="7">
        <f t="shared" si="16"/>
        <v>0.19</v>
      </c>
      <c r="F161" s="7">
        <f t="shared" si="20"/>
        <v>0.15</v>
      </c>
      <c r="G161" s="19">
        <v>0.32779999999999998</v>
      </c>
      <c r="H161" s="15">
        <f>AVERAGE(0.37,0.365)</f>
        <v>0.36749999999999999</v>
      </c>
      <c r="I161" s="7">
        <f t="shared" si="17"/>
        <v>0.5</v>
      </c>
      <c r="J161" s="7">
        <f t="shared" si="18"/>
        <v>0.06</v>
      </c>
      <c r="K161" s="7">
        <v>0.47</v>
      </c>
      <c r="L161" s="7">
        <v>0</v>
      </c>
      <c r="M161" s="7">
        <v>0.38</v>
      </c>
      <c r="N16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0.3464714285714286</v>
      </c>
      <c r="O16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0.34387801833973758</v>
      </c>
      <c r="P161" s="14">
        <f>IF(data[[#This Row],[Weighted_Avg]]&lt;&gt;"", IFERROR(AVERAGE(O149,O137,O125), ""), "")</f>
        <v>0.3263630407406774</v>
      </c>
      <c r="Q161" s="14" t="b">
        <f>IF(data[[#This Row],[Date]]&gt;MAX(data[Date])-750, TRUE, FALSE)</f>
        <v>0</v>
      </c>
      <c r="R161" s="3">
        <v>0.26500000000000001</v>
      </c>
      <c r="S161" s="3">
        <v>0.26500000000000001</v>
      </c>
      <c r="T161">
        <v>3.964</v>
      </c>
    </row>
    <row r="162" spans="1:30">
      <c r="A162" s="4">
        <v>41774</v>
      </c>
      <c r="B162">
        <f>YEAR(data[[#This Row],[Date]])</f>
        <v>2014</v>
      </c>
      <c r="C162" s="6">
        <f t="shared" si="19"/>
        <v>0.69</v>
      </c>
      <c r="D162" s="7">
        <f t="shared" si="15"/>
        <v>0.38</v>
      </c>
      <c r="E162" s="7">
        <f t="shared" si="16"/>
        <v>0.19</v>
      </c>
      <c r="F162" s="7">
        <f t="shared" si="20"/>
        <v>0.16</v>
      </c>
      <c r="G162" s="19">
        <v>0.32779999999999998</v>
      </c>
      <c r="H162" s="15">
        <f>AVERAGE(0.36,0.36)</f>
        <v>0.36</v>
      </c>
      <c r="I162" s="7">
        <f t="shared" si="17"/>
        <v>0.51</v>
      </c>
      <c r="J162" s="7">
        <f t="shared" si="18"/>
        <v>7.0000000000000007E-2</v>
      </c>
      <c r="K162" s="7">
        <v>0.47</v>
      </c>
      <c r="L162" s="7">
        <v>0</v>
      </c>
      <c r="M162" s="7">
        <v>0.39</v>
      </c>
      <c r="N16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0.34825714285714288</v>
      </c>
      <c r="O16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0.34509134245306627</v>
      </c>
      <c r="P162" s="14">
        <f>IF(data[[#This Row],[Weighted_Avg]]&lt;&gt;"", IFERROR(AVERAGE(O150,O138,O126), ""), "")</f>
        <v>0.35137612013301034</v>
      </c>
      <c r="Q162" s="14" t="b">
        <f>IF(data[[#This Row],[Date]]&gt;MAX(data[Date])-750, TRUE, FALSE)</f>
        <v>0</v>
      </c>
      <c r="R162" s="3">
        <v>0.27</v>
      </c>
      <c r="S162" s="3">
        <v>0.26500000000000001</v>
      </c>
      <c r="T162">
        <v>3.9430000000000001</v>
      </c>
    </row>
    <row r="163" spans="1:30">
      <c r="A163" s="4">
        <v>41805</v>
      </c>
      <c r="B163">
        <f>YEAR(data[[#This Row],[Date]])</f>
        <v>2014</v>
      </c>
      <c r="C163" s="6">
        <f t="shared" si="19"/>
        <v>0.68</v>
      </c>
      <c r="D163" s="7">
        <f t="shared" si="15"/>
        <v>0.37</v>
      </c>
      <c r="E163" s="7">
        <f t="shared" si="16"/>
        <v>0.18</v>
      </c>
      <c r="F163" s="7">
        <f t="shared" si="20"/>
        <v>0.15</v>
      </c>
      <c r="G163" s="19">
        <v>0.32200000000000001</v>
      </c>
      <c r="H163" s="15">
        <f>AVERAGE(0.36,0.355)</f>
        <v>0.35749999999999998</v>
      </c>
      <c r="I163" s="7">
        <f t="shared" si="17"/>
        <v>0.5</v>
      </c>
      <c r="J163" s="7">
        <f t="shared" si="18"/>
        <v>0.06</v>
      </c>
      <c r="K163" s="7">
        <v>0.46</v>
      </c>
      <c r="L163" s="7">
        <v>0</v>
      </c>
      <c r="M163" s="7">
        <v>0.38</v>
      </c>
      <c r="N16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0.34135714285714286</v>
      </c>
      <c r="O16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0.33797586551441572</v>
      </c>
      <c r="P163" s="14">
        <f>IF(data[[#This Row],[Weighted_Avg]]&lt;&gt;"", IFERROR(AVERAGE(O151,O139,O127), ""), "")</f>
        <v>0.35021652085424176</v>
      </c>
      <c r="Q163" s="14" t="b">
        <f>IF(data[[#This Row],[Date]]&gt;MAX(data[Date])-750, TRUE, FALSE)</f>
        <v>0</v>
      </c>
      <c r="R163" s="3">
        <v>0.27</v>
      </c>
      <c r="S163" s="3">
        <v>0.27</v>
      </c>
      <c r="T163">
        <v>3.9060000000000001</v>
      </c>
    </row>
    <row r="164" spans="1:30">
      <c r="A164" s="4">
        <v>41835</v>
      </c>
      <c r="B164">
        <f>YEAR(data[[#This Row],[Date]])</f>
        <v>2014</v>
      </c>
      <c r="C164" s="6">
        <f t="shared" si="19"/>
        <v>0.68</v>
      </c>
      <c r="D164" s="7">
        <f t="shared" si="15"/>
        <v>0.37</v>
      </c>
      <c r="E164" s="7">
        <f t="shared" si="16"/>
        <v>0.18</v>
      </c>
      <c r="F164" s="7">
        <f t="shared" si="20"/>
        <v>0.14000000000000001</v>
      </c>
      <c r="G164" s="19">
        <v>0.31630000000000003</v>
      </c>
      <c r="H164" s="15">
        <f>AVERAGE(0.345,0.345)</f>
        <v>0.34499999999999997</v>
      </c>
      <c r="I164" s="7">
        <f t="shared" si="17"/>
        <v>0.49</v>
      </c>
      <c r="J164" s="7">
        <f t="shared" si="18"/>
        <v>0.05</v>
      </c>
      <c r="K164" s="7">
        <v>0.46</v>
      </c>
      <c r="L164" s="7">
        <v>0</v>
      </c>
      <c r="M164" s="7">
        <v>0.37</v>
      </c>
      <c r="N16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0.33589999999999998</v>
      </c>
      <c r="O16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0.33246122056052718</v>
      </c>
      <c r="P164" s="14">
        <f>IF(data[[#This Row],[Weighted_Avg]]&lt;&gt;"", IFERROR(AVERAGE(O152,O140,O128), ""), "")</f>
        <v>0.33298163240963147</v>
      </c>
      <c r="Q164" s="14" t="b">
        <f>IF(data[[#This Row],[Date]]&gt;MAX(data[Date])-750, TRUE, FALSE)</f>
        <v>0</v>
      </c>
      <c r="R164" s="3">
        <v>0.27500000000000002</v>
      </c>
      <c r="S164" s="3">
        <v>0.27500000000000002</v>
      </c>
      <c r="T164">
        <v>3.8839999999999999</v>
      </c>
    </row>
    <row r="165" spans="1:30">
      <c r="A165" s="4">
        <v>41866</v>
      </c>
      <c r="B165">
        <f>YEAR(data[[#This Row],[Date]])</f>
        <v>2014</v>
      </c>
      <c r="C165" s="6">
        <f t="shared" si="19"/>
        <v>0.67</v>
      </c>
      <c r="D165" s="7">
        <f t="shared" si="15"/>
        <v>0.36</v>
      </c>
      <c r="E165" s="7">
        <f t="shared" si="16"/>
        <v>0.17</v>
      </c>
      <c r="F165" s="7">
        <f t="shared" si="20"/>
        <v>0.14000000000000001</v>
      </c>
      <c r="G165" s="19">
        <v>0.3105</v>
      </c>
      <c r="H165" s="15">
        <f>AVERAGE(0.34,0.35)</f>
        <v>0.34499999999999997</v>
      </c>
      <c r="I165" s="7">
        <f t="shared" si="17"/>
        <v>0.48</v>
      </c>
      <c r="J165" s="7">
        <f t="shared" si="18"/>
        <v>0.04</v>
      </c>
      <c r="K165" s="7">
        <v>0.45</v>
      </c>
      <c r="L165" s="7">
        <v>0</v>
      </c>
      <c r="M165" s="7">
        <v>0.37</v>
      </c>
      <c r="N16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0.33078571428571424</v>
      </c>
      <c r="O16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0.3276357549991793</v>
      </c>
      <c r="P165" s="14">
        <f>IF(data[[#This Row],[Weighted_Avg]]&lt;&gt;"", IFERROR(AVERAGE(O153,O141,O129), ""), "")</f>
        <v>0.31169750616248432</v>
      </c>
      <c r="Q165" s="14" t="b">
        <f>IF(data[[#This Row],[Date]]&gt;MAX(data[Date])-750, TRUE, FALSE)</f>
        <v>0</v>
      </c>
      <c r="R165" s="3">
        <v>0.28000000000000003</v>
      </c>
      <c r="S165" s="3">
        <v>0.27500000000000002</v>
      </c>
      <c r="T165">
        <v>3.8380000000000001</v>
      </c>
    </row>
    <row r="166" spans="1:30">
      <c r="A166" s="4">
        <v>41897</v>
      </c>
      <c r="B166">
        <f>YEAR(data[[#This Row],[Date]])</f>
        <v>2014</v>
      </c>
      <c r="C166" s="6">
        <f t="shared" si="19"/>
        <v>0.66</v>
      </c>
      <c r="D166" s="7">
        <f t="shared" si="15"/>
        <v>0.35</v>
      </c>
      <c r="E166" s="7">
        <f t="shared" si="16"/>
        <v>0.16</v>
      </c>
      <c r="F166" s="7">
        <f t="shared" si="20"/>
        <v>0.13</v>
      </c>
      <c r="G166" s="19">
        <v>0.30480000000000002</v>
      </c>
      <c r="H166" s="15">
        <f>AVERAGE(0.33,0.335)</f>
        <v>0.33250000000000002</v>
      </c>
      <c r="I166" s="7">
        <f t="shared" si="17"/>
        <v>0.48</v>
      </c>
      <c r="J166" s="7">
        <f t="shared" si="18"/>
        <v>0.04</v>
      </c>
      <c r="K166" s="7">
        <v>0.44</v>
      </c>
      <c r="L166" s="7">
        <v>0</v>
      </c>
      <c r="M166" s="7">
        <v>0.36</v>
      </c>
      <c r="N16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0.32390000000000002</v>
      </c>
      <c r="O16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0.31945864646919797</v>
      </c>
      <c r="P166" s="14">
        <f>IF(data[[#This Row],[Weighted_Avg]]&lt;&gt;"", IFERROR(AVERAGE(O154,O142,O130), ""), "")</f>
        <v>0.31393768995624272</v>
      </c>
      <c r="Q166" s="14" t="b">
        <f>IF(data[[#This Row],[Date]]&gt;MAX(data[Date])-750, TRUE, FALSE)</f>
        <v>0</v>
      </c>
      <c r="R166" s="3">
        <v>0.28000000000000003</v>
      </c>
      <c r="S166" s="3">
        <v>0.28000000000000003</v>
      </c>
      <c r="T166">
        <v>3.7919999999999998</v>
      </c>
    </row>
    <row r="167" spans="1:30">
      <c r="A167" s="4">
        <v>41927</v>
      </c>
      <c r="B167">
        <f>YEAR(data[[#This Row],[Date]])</f>
        <v>2014</v>
      </c>
      <c r="C167" s="6">
        <f t="shared" si="19"/>
        <v>0.65</v>
      </c>
      <c r="D167" s="7">
        <f t="shared" si="15"/>
        <v>0.34</v>
      </c>
      <c r="E167" s="7">
        <f t="shared" si="16"/>
        <v>0.15</v>
      </c>
      <c r="F167" s="7">
        <f t="shared" si="20"/>
        <v>0.12</v>
      </c>
      <c r="G167" s="19">
        <v>0.29899999999999999</v>
      </c>
      <c r="H167" s="15">
        <f>AVERAGE(0.33,0.325)</f>
        <v>0.32750000000000001</v>
      </c>
      <c r="I167" s="7">
        <f t="shared" si="17"/>
        <v>0.46</v>
      </c>
      <c r="J167" s="7">
        <f t="shared" si="18"/>
        <v>0.03</v>
      </c>
      <c r="K167" s="7">
        <v>0.43</v>
      </c>
      <c r="L167" s="7">
        <v>0</v>
      </c>
      <c r="M167" s="7">
        <v>0.35</v>
      </c>
      <c r="N16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0.31521428571428572</v>
      </c>
      <c r="O16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0.31126788960708679</v>
      </c>
      <c r="P167" s="14">
        <f>IF(data[[#This Row],[Weighted_Avg]]&lt;&gt;"", IFERROR(AVERAGE(O155,O143,O131), ""), "")</f>
        <v>0.33181546639349813</v>
      </c>
      <c r="Q167" s="14" t="b">
        <f>IF(data[[#This Row],[Date]]&gt;MAX(data[Date])-750, TRUE, FALSE)</f>
        <v>0</v>
      </c>
      <c r="R167" s="3">
        <v>0.28499999999999998</v>
      </c>
      <c r="S167" s="3">
        <v>0.28000000000000003</v>
      </c>
      <c r="T167">
        <v>3.681</v>
      </c>
    </row>
    <row r="168" spans="1:30">
      <c r="A168" s="4">
        <v>41958</v>
      </c>
      <c r="B168">
        <f>YEAR(data[[#This Row],[Date]])</f>
        <v>2014</v>
      </c>
      <c r="C168" s="6">
        <f t="shared" si="19"/>
        <v>0.64</v>
      </c>
      <c r="D168" s="7">
        <f t="shared" si="15"/>
        <v>0.33</v>
      </c>
      <c r="E168" s="7">
        <f t="shared" si="16"/>
        <v>0.14000000000000001</v>
      </c>
      <c r="F168" s="7">
        <f t="shared" si="20"/>
        <v>0.11</v>
      </c>
      <c r="G168" s="19">
        <v>0.28749999999999998</v>
      </c>
      <c r="H168" s="15">
        <f>AVERAGE(0.3,0.315)</f>
        <v>0.3075</v>
      </c>
      <c r="I168" s="7">
        <f t="shared" si="17"/>
        <v>0.45</v>
      </c>
      <c r="J168" s="7">
        <f t="shared" si="18"/>
        <v>0.02</v>
      </c>
      <c r="K168" s="7">
        <v>0.42</v>
      </c>
      <c r="L168" s="7">
        <v>0</v>
      </c>
      <c r="M168" s="7">
        <v>0.34</v>
      </c>
      <c r="N16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0.30499999999999999</v>
      </c>
      <c r="O16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0.30028148526536325</v>
      </c>
      <c r="P168" s="14">
        <f>IF(data[[#This Row],[Weighted_Avg]]&lt;&gt;"", IFERROR(AVERAGE(O156,O144,O132), ""), "")</f>
        <v>0.33745155555609596</v>
      </c>
      <c r="Q168" s="14" t="b">
        <f>IF(data[[#This Row],[Date]]&gt;MAX(data[Date])-750, TRUE, FALSE)</f>
        <v>0</v>
      </c>
      <c r="R168" s="3">
        <v>0.28999999999999998</v>
      </c>
      <c r="S168" s="3">
        <v>0.28499999999999998</v>
      </c>
      <c r="T168">
        <v>3.6469999999999998</v>
      </c>
    </row>
    <row r="169" spans="1:30">
      <c r="A169" s="4">
        <v>41988</v>
      </c>
      <c r="B169">
        <f>YEAR(data[[#This Row],[Date]])</f>
        <v>2014</v>
      </c>
      <c r="C169" s="6">
        <f t="shared" si="19"/>
        <v>0.61</v>
      </c>
      <c r="D169" s="7">
        <f t="shared" si="15"/>
        <v>0.3</v>
      </c>
      <c r="E169" s="7">
        <f t="shared" si="16"/>
        <v>0.11</v>
      </c>
      <c r="F169" s="7">
        <f t="shared" si="20"/>
        <v>0.09</v>
      </c>
      <c r="G169" s="19">
        <v>0.27029999999999998</v>
      </c>
      <c r="H169" s="15">
        <f>AVERAGE(0.295,0.295)</f>
        <v>0.29499999999999998</v>
      </c>
      <c r="I169" s="7">
        <f t="shared" si="17"/>
        <v>0.43</v>
      </c>
      <c r="J169" s="7">
        <f t="shared" si="18"/>
        <v>0</v>
      </c>
      <c r="K169" s="7">
        <v>0.39</v>
      </c>
      <c r="L169" s="7">
        <v>0</v>
      </c>
      <c r="M169" s="7">
        <v>0.32</v>
      </c>
      <c r="N16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0.28647142857142854</v>
      </c>
      <c r="O16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0.28060888334551365</v>
      </c>
      <c r="P169" s="14">
        <f>IF(data[[#This Row],[Weighted_Avg]]&lt;&gt;"", IFERROR(AVERAGE(O157,O145,O133), ""), "")</f>
        <v>0.32780523780895249</v>
      </c>
      <c r="Q169" s="14" t="b">
        <f>IF(data[[#This Row],[Date]]&gt;MAX(data[Date])-750, TRUE, FALSE)</f>
        <v>0</v>
      </c>
      <c r="R169" s="3">
        <v>0.28999999999999998</v>
      </c>
      <c r="S169" s="3">
        <v>0.28499999999999998</v>
      </c>
      <c r="T169">
        <v>3.411</v>
      </c>
    </row>
    <row r="170" spans="1:30">
      <c r="A170" s="4">
        <v>42019</v>
      </c>
      <c r="B170">
        <f>YEAR(data[[#This Row],[Date]])</f>
        <v>2015</v>
      </c>
      <c r="C170" s="6">
        <f t="shared" si="19"/>
        <v>0.6</v>
      </c>
      <c r="D170" s="7">
        <f t="shared" si="15"/>
        <v>0.28999999999999998</v>
      </c>
      <c r="E170" s="7">
        <f t="shared" si="16"/>
        <v>0.1</v>
      </c>
      <c r="F170" s="7">
        <f t="shared" si="20"/>
        <v>0.08</v>
      </c>
      <c r="G170" s="19">
        <v>0.25879999999999997</v>
      </c>
      <c r="H170" s="15">
        <f>AVERAGE(0.275,0.23)</f>
        <v>0.2525</v>
      </c>
      <c r="I170" s="7">
        <f t="shared" si="17"/>
        <v>0.42</v>
      </c>
      <c r="J170" s="7">
        <f t="shared" si="18"/>
        <v>0</v>
      </c>
      <c r="K170" s="7">
        <v>0.38</v>
      </c>
      <c r="L170" s="7">
        <v>0</v>
      </c>
      <c r="M170" s="7">
        <v>0.31</v>
      </c>
      <c r="N17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0.21304285714285712</v>
      </c>
      <c r="O17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0.23876531525979366</v>
      </c>
      <c r="P170" s="14">
        <f>IF(data[[#This Row],[Weighted_Avg]]&lt;&gt;"", IFERROR(AVERAGE(O158,O146,O134), ""), "")</f>
        <v>0.3302963961849214</v>
      </c>
      <c r="Q170" s="14" t="b">
        <f>IF(data[[#This Row],[Date]]&gt;MAX(data[Date])-750, TRUE, FALSE)</f>
        <v>0</v>
      </c>
      <c r="R170" s="3">
        <v>0.29499999999999998</v>
      </c>
      <c r="S170" s="3">
        <v>3.5000000000000003E-2</v>
      </c>
      <c r="T170">
        <v>2.9969999999999999</v>
      </c>
    </row>
    <row r="171" spans="1:30">
      <c r="A171" s="4">
        <v>42050</v>
      </c>
      <c r="B171">
        <f>YEAR(data[[#This Row],[Date]])</f>
        <v>2015</v>
      </c>
      <c r="C171" s="6">
        <f t="shared" si="19"/>
        <v>0.55000000000000004</v>
      </c>
      <c r="D171" s="7">
        <f t="shared" si="15"/>
        <v>0.23</v>
      </c>
      <c r="E171" s="7">
        <f t="shared" si="16"/>
        <v>0.05</v>
      </c>
      <c r="F171" s="7">
        <f t="shared" si="20"/>
        <v>0.04</v>
      </c>
      <c r="G171" s="19">
        <v>0.2185</v>
      </c>
      <c r="H171" s="15">
        <f>AVERAGE(0.195,0.15)</f>
        <v>0.17249999999999999</v>
      </c>
      <c r="I171" s="7">
        <f t="shared" si="17"/>
        <v>0.36</v>
      </c>
      <c r="J171" s="7">
        <f t="shared" si="18"/>
        <v>0</v>
      </c>
      <c r="K171" s="7">
        <v>0.32</v>
      </c>
      <c r="L171" s="7">
        <v>0</v>
      </c>
      <c r="M171" s="7">
        <v>0.27</v>
      </c>
      <c r="N17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0.14014285714285715</v>
      </c>
      <c r="O17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0.11207031450153104</v>
      </c>
      <c r="P171" s="14">
        <f>IF(data[[#This Row],[Weighted_Avg]]&lt;&gt;"", IFERROR(AVERAGE(O159,O147,O135), ""), "")</f>
        <v>0.32410531720862862</v>
      </c>
      <c r="Q171" s="14" t="b">
        <f>IF(data[[#This Row],[Date]]&gt;MAX(data[Date])-750, TRUE, FALSE)</f>
        <v>0</v>
      </c>
      <c r="R171" s="3">
        <v>0.3</v>
      </c>
      <c r="S171" s="3">
        <v>0.04</v>
      </c>
      <c r="T171">
        <v>2.8580000000000001</v>
      </c>
    </row>
    <row r="172" spans="1:30">
      <c r="A172" s="4">
        <v>42078</v>
      </c>
      <c r="B172">
        <f>YEAR(data[[#This Row],[Date]])</f>
        <v>2015</v>
      </c>
      <c r="C172" s="6">
        <f t="shared" si="19"/>
        <v>0.44</v>
      </c>
      <c r="D172" s="7">
        <f t="shared" si="15"/>
        <v>0.13</v>
      </c>
      <c r="E172" s="7">
        <f t="shared" si="16"/>
        <v>0</v>
      </c>
      <c r="F172" s="7">
        <f t="shared" si="20"/>
        <v>0</v>
      </c>
      <c r="G172" s="19">
        <v>0.13800000000000001</v>
      </c>
      <c r="H172" s="15">
        <f>AVERAGE(0.125,0.13)</f>
        <v>0.1275</v>
      </c>
      <c r="I172" s="7">
        <f t="shared" si="17"/>
        <v>0.25</v>
      </c>
      <c r="J172" s="7">
        <f t="shared" si="18"/>
        <v>0</v>
      </c>
      <c r="K172" s="7">
        <v>0.22</v>
      </c>
      <c r="L172" s="7">
        <v>0</v>
      </c>
      <c r="M172" s="7">
        <v>0.18</v>
      </c>
      <c r="N17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9.5071428571428571E-2</v>
      </c>
      <c r="O17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7.5771472223387398E-2</v>
      </c>
      <c r="P172" s="14">
        <f>IF(data[[#This Row],[Weighted_Avg]]&lt;&gt;"", IFERROR(AVERAGE(O160,O148,O136), ""), "")</f>
        <v>0.32310523929435825</v>
      </c>
      <c r="Q172" s="14" t="b">
        <f>IF(data[[#This Row],[Date]]&gt;MAX(data[Date])-750, TRUE, FALSE)</f>
        <v>0</v>
      </c>
      <c r="R172" s="3">
        <v>0.30499999999999999</v>
      </c>
      <c r="S172" s="3">
        <v>0.04</v>
      </c>
      <c r="T172">
        <v>2.8969999999999998</v>
      </c>
    </row>
    <row r="173" spans="1:30">
      <c r="A173" s="4">
        <v>42109</v>
      </c>
      <c r="B173">
        <f>YEAR(data[[#This Row],[Date]])</f>
        <v>2015</v>
      </c>
      <c r="C173" s="6">
        <f t="shared" si="19"/>
        <v>0.41</v>
      </c>
      <c r="D173" s="7">
        <f t="shared" si="15"/>
        <v>0.09</v>
      </c>
      <c r="E173" s="7">
        <f t="shared" si="16"/>
        <v>0</v>
      </c>
      <c r="F173" s="7">
        <f t="shared" si="20"/>
        <v>0</v>
      </c>
      <c r="G173" s="19">
        <v>0.10929999999999999</v>
      </c>
      <c r="H173" s="15">
        <f>AVERAGE(0.145,0.135)</f>
        <v>0.14000000000000001</v>
      </c>
      <c r="I173" s="7">
        <f t="shared" si="17"/>
        <v>0.22</v>
      </c>
      <c r="J173" s="7">
        <f t="shared" si="18"/>
        <v>0</v>
      </c>
      <c r="K173" s="7">
        <v>0.18</v>
      </c>
      <c r="L173" s="7">
        <v>0</v>
      </c>
      <c r="M173" s="7">
        <v>0.16</v>
      </c>
      <c r="N17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8.4185714285714294E-2</v>
      </c>
      <c r="O17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6.9142828093792241E-2</v>
      </c>
      <c r="P173" s="14">
        <f>IF(data[[#This Row],[Weighted_Avg]]&lt;&gt;"", IFERROR(AVERAGE(O161,O149,O137), ""), "")</f>
        <v>0.35026275964738368</v>
      </c>
      <c r="Q173" s="14" t="b">
        <f>IF(data[[#This Row],[Date]]&gt;MAX(data[Date])-750, TRUE, FALSE)</f>
        <v>0</v>
      </c>
      <c r="R173" s="3">
        <v>0.30499999999999999</v>
      </c>
      <c r="S173" s="3">
        <v>0.04</v>
      </c>
      <c r="T173">
        <v>2.782</v>
      </c>
    </row>
    <row r="174" spans="1:30">
      <c r="A174" s="4">
        <v>42139</v>
      </c>
      <c r="B174">
        <f>YEAR(data[[#This Row],[Date]])</f>
        <v>2015</v>
      </c>
      <c r="C174" s="6">
        <f t="shared" si="19"/>
        <v>0.42</v>
      </c>
      <c r="D174" s="7">
        <f t="shared" si="15"/>
        <v>0.1</v>
      </c>
      <c r="E174" s="7">
        <f t="shared" si="16"/>
        <v>0</v>
      </c>
      <c r="F174" s="7">
        <f t="shared" si="20"/>
        <v>0</v>
      </c>
      <c r="G174" s="19">
        <v>0.115</v>
      </c>
      <c r="H174" s="15">
        <f>AVERAGE(0.12,0.11)</f>
        <v>0.11499999999999999</v>
      </c>
      <c r="I174" s="7">
        <f t="shared" si="17"/>
        <v>0.23</v>
      </c>
      <c r="J174" s="7">
        <f t="shared" si="18"/>
        <v>0</v>
      </c>
      <c r="K174" s="7">
        <v>0.19</v>
      </c>
      <c r="L174" s="7">
        <v>0</v>
      </c>
      <c r="M174" s="7">
        <v>0.16</v>
      </c>
      <c r="N17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8.2857142857142851E-2</v>
      </c>
      <c r="O17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6.6400175529735192E-2</v>
      </c>
      <c r="P174" s="14">
        <f>IF(data[[#This Row],[Weighted_Avg]]&lt;&gt;"", IFERROR(AVERAGE(O162,O150,O138), ""), "")</f>
        <v>0.35553525938320457</v>
      </c>
      <c r="Q174" s="14" t="b">
        <f>IF(data[[#This Row],[Date]]&gt;MAX(data[Date])-750, TRUE, FALSE)</f>
        <v>0</v>
      </c>
      <c r="R174" s="3">
        <v>0.30499999999999999</v>
      </c>
      <c r="S174" s="3">
        <v>0.04</v>
      </c>
      <c r="T174">
        <v>2.8879999999999999</v>
      </c>
    </row>
    <row r="175" spans="1:30">
      <c r="A175" s="4">
        <v>42170</v>
      </c>
      <c r="B175">
        <f>YEAR(data[[#This Row],[Date]])</f>
        <v>2015</v>
      </c>
      <c r="C175" s="6">
        <f t="shared" si="19"/>
        <v>0.39</v>
      </c>
      <c r="D175" s="7">
        <f t="shared" si="15"/>
        <v>0.08</v>
      </c>
      <c r="E175" s="7">
        <f t="shared" si="16"/>
        <v>0</v>
      </c>
      <c r="F175" s="7">
        <f t="shared" si="20"/>
        <v>0</v>
      </c>
      <c r="G175" s="19">
        <v>9.7799999999999998E-2</v>
      </c>
      <c r="H175" s="15">
        <f>AVERAGE(0.14,0.125)</f>
        <v>0.13250000000000001</v>
      </c>
      <c r="I175" s="7">
        <f t="shared" si="17"/>
        <v>0.2</v>
      </c>
      <c r="J175" s="7">
        <f t="shared" si="18"/>
        <v>0</v>
      </c>
      <c r="K175" s="7">
        <v>0.17</v>
      </c>
      <c r="L175" s="7">
        <v>0</v>
      </c>
      <c r="M175" s="7">
        <v>0.14000000000000001</v>
      </c>
      <c r="N17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7.7185714285714288E-2</v>
      </c>
      <c r="O17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6.2685553128398075E-2</v>
      </c>
      <c r="P175" s="14">
        <f>IF(data[[#This Row],[Weighted_Avg]]&lt;&gt;"", IFERROR(AVERAGE(O163,O151,O139), ""), "")</f>
        <v>0.34256565937108369</v>
      </c>
      <c r="Q175" s="14" t="b">
        <f>IF(data[[#This Row],[Date]]&gt;MAX(data[Date])-750, TRUE, FALSE)</f>
        <v>0</v>
      </c>
      <c r="R175" s="3">
        <v>0.30499999999999999</v>
      </c>
      <c r="S175" s="3">
        <v>0.04</v>
      </c>
      <c r="T175">
        <v>2.8730000000000002</v>
      </c>
    </row>
    <row r="176" spans="1:30">
      <c r="A176" s="4">
        <v>42200</v>
      </c>
      <c r="B176">
        <f>YEAR(data[[#This Row],[Date]])</f>
        <v>2015</v>
      </c>
      <c r="C176" s="6">
        <f t="shared" si="19"/>
        <v>0.41</v>
      </c>
      <c r="D176" s="7">
        <f t="shared" si="15"/>
        <v>0.1</v>
      </c>
      <c r="E176" s="7">
        <f t="shared" si="16"/>
        <v>0</v>
      </c>
      <c r="F176" s="7">
        <f t="shared" si="20"/>
        <v>0</v>
      </c>
      <c r="G176" s="19">
        <v>0.115</v>
      </c>
      <c r="H176" s="15">
        <f>AVERAGE(0.135,0.13)</f>
        <v>0.13250000000000001</v>
      </c>
      <c r="I176" s="7">
        <f t="shared" si="17"/>
        <v>0.23</v>
      </c>
      <c r="J176" s="7">
        <f t="shared" si="18"/>
        <v>0</v>
      </c>
      <c r="K176" s="7">
        <v>0.19</v>
      </c>
      <c r="L176" s="7">
        <v>0</v>
      </c>
      <c r="M176" s="11">
        <v>0.16</v>
      </c>
      <c r="N17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8.5357142857142868E-2</v>
      </c>
      <c r="O17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6.9068358183912576E-2</v>
      </c>
      <c r="P176" s="14">
        <f>IF(data[[#This Row],[Weighted_Avg]]&lt;&gt;"", IFERROR(AVERAGE(O164,O152,O140), ""), "")</f>
        <v>0.32687316583707221</v>
      </c>
      <c r="Q176" s="14" t="b">
        <f>IF(data[[#This Row],[Date]]&gt;MAX(data[Date])-750, TRUE, FALSE)</f>
        <v>0</v>
      </c>
      <c r="R176" s="3">
        <v>0.30499999999999999</v>
      </c>
      <c r="S176" s="3">
        <v>0.04</v>
      </c>
      <c r="T176">
        <v>2.7879999999999998</v>
      </c>
    </row>
    <row r="177" spans="1:20">
      <c r="A177" s="4">
        <v>42231</v>
      </c>
      <c r="B177">
        <f>YEAR(data[[#This Row],[Date]])</f>
        <v>2015</v>
      </c>
      <c r="C177" s="6">
        <f t="shared" si="19"/>
        <v>0.41</v>
      </c>
      <c r="D177" s="7">
        <f t="shared" si="15"/>
        <v>0.1</v>
      </c>
      <c r="E177" s="7">
        <f t="shared" si="16"/>
        <v>0</v>
      </c>
      <c r="F177" s="7">
        <f t="shared" si="20"/>
        <v>0</v>
      </c>
      <c r="G177" s="19">
        <v>0.115</v>
      </c>
      <c r="H177" s="15">
        <f>AVERAGE(0.115, 0.125)</f>
        <v>0.12</v>
      </c>
      <c r="I177" s="7">
        <f t="shared" si="17"/>
        <v>0.22</v>
      </c>
      <c r="J177" s="7">
        <f t="shared" si="18"/>
        <v>0</v>
      </c>
      <c r="K177" s="7">
        <v>0.19</v>
      </c>
      <c r="L177" s="7">
        <v>0</v>
      </c>
      <c r="M177" s="11">
        <v>0.16</v>
      </c>
      <c r="N17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8.357142857142856E-2</v>
      </c>
      <c r="O17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6.716251343092873E-2</v>
      </c>
      <c r="P177" s="14">
        <f>IF(data[[#This Row],[Weighted_Avg]]&lt;&gt;"", IFERROR(AVERAGE(O165,O153,O141), ""), "")</f>
        <v>0.31085882332955256</v>
      </c>
      <c r="Q177" s="14" t="b">
        <f>IF(data[[#This Row],[Date]]&gt;MAX(data[Date])-750, TRUE, FALSE)</f>
        <v>0</v>
      </c>
      <c r="R177" s="3">
        <v>0.30499999999999999</v>
      </c>
      <c r="S177" s="3">
        <v>0.04</v>
      </c>
      <c r="T177">
        <v>2.5950000000000002</v>
      </c>
    </row>
    <row r="178" spans="1:20">
      <c r="A178" s="4">
        <v>42262</v>
      </c>
      <c r="B178">
        <f>YEAR(data[[#This Row],[Date]])</f>
        <v>2015</v>
      </c>
      <c r="C178" s="6">
        <f t="shared" si="19"/>
        <v>0.39</v>
      </c>
      <c r="D178" s="7">
        <f t="shared" si="15"/>
        <v>0.08</v>
      </c>
      <c r="E178" s="7">
        <f t="shared" si="16"/>
        <v>0</v>
      </c>
      <c r="F178" s="7">
        <f t="shared" si="20"/>
        <v>0</v>
      </c>
      <c r="G178" s="19">
        <v>9.7799999999999998E-2</v>
      </c>
      <c r="H178" s="15">
        <f>AVERAGE(0.075,0.08)</f>
        <v>7.7499999999999999E-2</v>
      </c>
      <c r="I178" s="7">
        <f t="shared" si="17"/>
        <v>0.2</v>
      </c>
      <c r="J178" s="7">
        <f t="shared" si="18"/>
        <v>0</v>
      </c>
      <c r="K178" s="7">
        <v>0.17</v>
      </c>
      <c r="L178" s="7">
        <v>0</v>
      </c>
      <c r="M178" s="7">
        <v>0.14000000000000001</v>
      </c>
      <c r="N17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6.9328571428571434E-2</v>
      </c>
      <c r="O17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5.4299836215269154E-2</v>
      </c>
      <c r="P178" s="14">
        <f>IF(data[[#This Row],[Weighted_Avg]]&lt;&gt;"", IFERROR(AVERAGE(O166,O154,O142), ""), "")</f>
        <v>0.31124443003751195</v>
      </c>
      <c r="Q178" s="14" t="b">
        <f>IF(data[[#This Row],[Date]]&gt;MAX(data[Date])-750, TRUE, FALSE)</f>
        <v>0</v>
      </c>
      <c r="R178" s="3">
        <v>0.30499999999999999</v>
      </c>
      <c r="S178" s="3">
        <v>0.04</v>
      </c>
      <c r="T178">
        <v>2.5049999999999999</v>
      </c>
    </row>
    <row r="179" spans="1:20">
      <c r="A179" s="4">
        <v>42292</v>
      </c>
      <c r="B179">
        <f>YEAR(data[[#This Row],[Date]])</f>
        <v>2015</v>
      </c>
      <c r="C179" s="6">
        <f t="shared" si="19"/>
        <v>0.34</v>
      </c>
      <c r="D179" s="7">
        <f t="shared" si="15"/>
        <v>0.03</v>
      </c>
      <c r="E179" s="7">
        <f t="shared" si="16"/>
        <v>0</v>
      </c>
      <c r="F179" s="7">
        <f t="shared" si="20"/>
        <v>0</v>
      </c>
      <c r="G179" s="19">
        <v>5.7500000000000002E-2</v>
      </c>
      <c r="H179" s="15">
        <f>AVERAGE(0.06,0.055)</f>
        <v>5.7499999999999996E-2</v>
      </c>
      <c r="I179" s="7">
        <f t="shared" si="17"/>
        <v>0.15</v>
      </c>
      <c r="J179" s="7">
        <f t="shared" si="18"/>
        <v>0</v>
      </c>
      <c r="K179" s="7">
        <v>0.12</v>
      </c>
      <c r="L179" s="7">
        <v>0</v>
      </c>
      <c r="M179" s="7">
        <v>0.1</v>
      </c>
      <c r="N17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4.7857142857142855E-2</v>
      </c>
      <c r="O17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3.7388617671068894E-2</v>
      </c>
      <c r="P179" s="14">
        <f>IF(data[[#This Row],[Weighted_Avg]]&lt;&gt;"", IFERROR(AVERAGE(O167,O155,O143), ""), "")</f>
        <v>0.32894768527666757</v>
      </c>
      <c r="Q179" s="14" t="b">
        <f>IF(data[[#This Row],[Date]]&gt;MAX(data[Date])-750, TRUE, FALSE)</f>
        <v>0</v>
      </c>
      <c r="R179" s="3">
        <v>0.30499999999999999</v>
      </c>
      <c r="S179" s="3">
        <v>0.04</v>
      </c>
      <c r="T179">
        <v>2.5190000000000001</v>
      </c>
    </row>
    <row r="180" spans="1:20">
      <c r="A180" s="4">
        <v>42323</v>
      </c>
      <c r="B180">
        <f>YEAR(data[[#This Row],[Date]])</f>
        <v>2015</v>
      </c>
      <c r="C180" s="6">
        <f t="shared" si="19"/>
        <v>0.32</v>
      </c>
      <c r="D180" s="7">
        <f t="shared" si="15"/>
        <v>0.01</v>
      </c>
      <c r="E180" s="7">
        <f t="shared" si="16"/>
        <v>0</v>
      </c>
      <c r="F180" s="7">
        <f t="shared" si="20"/>
        <v>0</v>
      </c>
      <c r="G180" s="19">
        <v>4.0300000000000002E-2</v>
      </c>
      <c r="H180" s="15">
        <f>AVERAGE(0.05,0.06)</f>
        <v>5.5E-2</v>
      </c>
      <c r="I180" s="7">
        <f t="shared" si="17"/>
        <v>0.13</v>
      </c>
      <c r="J180" s="7">
        <f t="shared" si="18"/>
        <v>0</v>
      </c>
      <c r="K180" s="7">
        <v>0.1</v>
      </c>
      <c r="L180" s="7">
        <v>0</v>
      </c>
      <c r="M180" s="7">
        <v>0.09</v>
      </c>
      <c r="N18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4.075714285714286E-2</v>
      </c>
      <c r="O18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3.2352320896750442E-2</v>
      </c>
      <c r="P180" s="14">
        <f>IF(data[[#This Row],[Weighted_Avg]]&lt;&gt;"", IFERROR(AVERAGE(O168,O156,O144), ""), "")</f>
        <v>0.33404548676098206</v>
      </c>
      <c r="Q180" s="14" t="b">
        <f>IF(data[[#This Row],[Date]]&gt;MAX(data[Date])-750, TRUE, FALSE)</f>
        <v>0</v>
      </c>
      <c r="R180" s="3">
        <v>0.30499999999999999</v>
      </c>
      <c r="S180" s="3">
        <v>3.9E-2</v>
      </c>
      <c r="T180">
        <v>2.4670000000000001</v>
      </c>
    </row>
    <row r="181" spans="1:20">
      <c r="A181" s="4">
        <v>42353</v>
      </c>
      <c r="B181">
        <f>YEAR(data[[#This Row],[Date]])</f>
        <v>2015</v>
      </c>
      <c r="C181" s="6">
        <f t="shared" si="19"/>
        <v>0.32</v>
      </c>
      <c r="D181" s="7">
        <f t="shared" si="15"/>
        <v>0.01</v>
      </c>
      <c r="E181" s="7">
        <f t="shared" si="16"/>
        <v>0</v>
      </c>
      <c r="F181" s="7">
        <f t="shared" si="20"/>
        <v>0</v>
      </c>
      <c r="G181" s="19">
        <v>4.5999999999999999E-2</v>
      </c>
      <c r="H181" s="15">
        <f>AVERAGE(0.055,0.045)</f>
        <v>0.05</v>
      </c>
      <c r="I181" s="7">
        <f t="shared" si="17"/>
        <v>0.13</v>
      </c>
      <c r="J181" s="7">
        <f t="shared" si="18"/>
        <v>0</v>
      </c>
      <c r="K181" s="7">
        <v>0.1</v>
      </c>
      <c r="L181" s="7">
        <v>0</v>
      </c>
      <c r="M181" s="7">
        <v>0.09</v>
      </c>
      <c r="N18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4.0857142857142863E-2</v>
      </c>
      <c r="O18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3.2365749760421274E-2</v>
      </c>
      <c r="P181" s="14">
        <f>IF(data[[#This Row],[Weighted_Avg]]&lt;&gt;"", IFERROR(AVERAGE(O169,O157,O145), ""), "")</f>
        <v>0.31838354982059747</v>
      </c>
      <c r="Q181" s="14" t="b">
        <f>IF(data[[#This Row],[Date]]&gt;MAX(data[Date])-750, TRUE, FALSE)</f>
        <v>0</v>
      </c>
      <c r="R181" s="3">
        <v>0.30499999999999999</v>
      </c>
      <c r="S181" s="3">
        <v>0.04</v>
      </c>
      <c r="T181">
        <v>2.31</v>
      </c>
    </row>
    <row r="182" spans="1:20">
      <c r="A182" s="4">
        <v>42384</v>
      </c>
      <c r="B182">
        <f>YEAR(data[[#This Row],[Date]])</f>
        <v>2016</v>
      </c>
      <c r="C182" s="6">
        <f t="shared" si="19"/>
        <v>0.31</v>
      </c>
      <c r="D182" s="7">
        <f t="shared" si="15"/>
        <v>0</v>
      </c>
      <c r="E182" s="7">
        <f t="shared" si="16"/>
        <v>0</v>
      </c>
      <c r="F182" s="7">
        <f t="shared" si="20"/>
        <v>0</v>
      </c>
      <c r="G182" s="19">
        <v>3.4500000000000003E-2</v>
      </c>
      <c r="H182" s="15">
        <f>AVERAGE(0.035,0.015)</f>
        <v>2.5000000000000001E-2</v>
      </c>
      <c r="I182" s="7">
        <f t="shared" si="17"/>
        <v>0.12</v>
      </c>
      <c r="J182" s="7">
        <f t="shared" si="18"/>
        <v>0</v>
      </c>
      <c r="K182" s="7">
        <v>0.09</v>
      </c>
      <c r="L182" s="7">
        <v>0</v>
      </c>
      <c r="M182" s="7">
        <v>0.08</v>
      </c>
      <c r="N18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3.2785714285714286E-2</v>
      </c>
      <c r="O18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2.5249924444910567E-2</v>
      </c>
      <c r="P182" s="14">
        <f>IF(data[[#This Row],[Weighted_Avg]]&lt;&gt;"", IFERROR(AVERAGE(O170,O158,O146), ""), "")</f>
        <v>0.29871051527244591</v>
      </c>
      <c r="Q182" s="33" t="b">
        <f>IF(data[[#This Row],[Date]]&gt;MAX(data[Date])-750, TRUE, FALSE)</f>
        <v>0</v>
      </c>
      <c r="R182" s="34">
        <v>0.30499999999999999</v>
      </c>
      <c r="S182" s="34">
        <v>0.04</v>
      </c>
      <c r="T182">
        <v>2.1429999999999998</v>
      </c>
    </row>
    <row r="183" spans="1:20">
      <c r="A183" s="4">
        <v>42415</v>
      </c>
      <c r="B183">
        <f>YEAR(data[[#This Row],[Date]])</f>
        <v>2016</v>
      </c>
      <c r="C183" s="6">
        <f t="shared" si="19"/>
        <v>0.27</v>
      </c>
      <c r="D183" s="7">
        <f t="shared" si="15"/>
        <v>-0.04</v>
      </c>
      <c r="E183" s="7">
        <f t="shared" si="16"/>
        <v>0</v>
      </c>
      <c r="F183" s="7">
        <f t="shared" si="20"/>
        <v>0</v>
      </c>
      <c r="G183" s="19">
        <v>5.7999999999999996E-3</v>
      </c>
      <c r="H183" s="15">
        <f>AVERAGE(0, 0)</f>
        <v>0</v>
      </c>
      <c r="I183" s="7">
        <f t="shared" si="17"/>
        <v>0.08</v>
      </c>
      <c r="J183" s="7">
        <f t="shared" si="18"/>
        <v>0</v>
      </c>
      <c r="K183" s="7">
        <v>0.05</v>
      </c>
      <c r="L183" s="7">
        <v>0</v>
      </c>
      <c r="M183" s="7">
        <v>0.05</v>
      </c>
      <c r="N18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1.5114285714285716E-2</v>
      </c>
      <c r="O18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1.1435083749791332E-2</v>
      </c>
      <c r="P183" s="14">
        <f>IF(data[[#This Row],[Weighted_Avg]]&lt;&gt;"", IFERROR(AVERAGE(O171,O159,O147), ""), "")</f>
        <v>0.25606849949796295</v>
      </c>
      <c r="Q183" s="14" t="b">
        <f>IF(data[[#This Row],[Date]]&gt;MAX(data[Date])-750, TRUE, FALSE)</f>
        <v>0</v>
      </c>
      <c r="R183" s="3">
        <v>0.3</v>
      </c>
      <c r="S183" s="3">
        <v>0.03</v>
      </c>
      <c r="T183">
        <v>1.998</v>
      </c>
    </row>
    <row r="184" spans="1:20">
      <c r="A184" s="4">
        <v>42444</v>
      </c>
      <c r="B184">
        <f>YEAR(data[[#This Row],[Date]])</f>
        <v>2016</v>
      </c>
      <c r="C184" s="6">
        <f t="shared" si="19"/>
        <v>0.23</v>
      </c>
      <c r="D184" s="7">
        <f t="shared" si="15"/>
        <v>-0.08</v>
      </c>
      <c r="E184" s="7">
        <f t="shared" si="16"/>
        <v>0</v>
      </c>
      <c r="F184" s="7">
        <f t="shared" si="20"/>
        <v>0</v>
      </c>
      <c r="G184" s="19">
        <v>0</v>
      </c>
      <c r="H184" s="15">
        <f>AVERAGE(0, 0)</f>
        <v>0</v>
      </c>
      <c r="I184" s="7">
        <f t="shared" si="17"/>
        <v>0.04</v>
      </c>
      <c r="J184" s="7">
        <f t="shared" si="18"/>
        <v>0</v>
      </c>
      <c r="K184" s="7">
        <v>0</v>
      </c>
      <c r="L184" s="7">
        <v>0</v>
      </c>
      <c r="M184" s="7">
        <v>0</v>
      </c>
      <c r="N18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v>
      </c>
      <c r="O18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v>
      </c>
      <c r="P184" s="14">
        <f>IF(data[[#This Row],[Weighted_Avg]]&lt;&gt;"", IFERROR(AVERAGE(O172,O160,O148), ""), "")</f>
        <v>0.24429595506440119</v>
      </c>
      <c r="Q184" s="14" t="b">
        <f>IF(data[[#This Row],[Date]]&gt;MAX(data[Date])-750, TRUE, FALSE)</f>
        <v>0</v>
      </c>
      <c r="R184" s="3">
        <v>0.3</v>
      </c>
      <c r="S184" s="3">
        <v>0.03</v>
      </c>
      <c r="T184">
        <v>2.09</v>
      </c>
    </row>
    <row r="185" spans="1:20">
      <c r="A185" s="4">
        <v>42475</v>
      </c>
      <c r="B185">
        <f>YEAR(data[[#This Row],[Date]])</f>
        <v>2016</v>
      </c>
      <c r="C185" s="6">
        <f t="shared" si="19"/>
        <v>0.19</v>
      </c>
      <c r="D185" s="7">
        <f t="shared" si="15"/>
        <v>-0.12</v>
      </c>
      <c r="E185" s="7">
        <f t="shared" si="16"/>
        <v>0</v>
      </c>
      <c r="F185" s="7">
        <f t="shared" si="20"/>
        <v>0</v>
      </c>
      <c r="G185" s="19">
        <v>0</v>
      </c>
      <c r="H185" s="15">
        <f>AVERAGE(0, 0)</f>
        <v>0</v>
      </c>
      <c r="I185" s="7">
        <f t="shared" si="17"/>
        <v>0</v>
      </c>
      <c r="J185" s="7">
        <f t="shared" si="18"/>
        <v>0</v>
      </c>
      <c r="K185" s="7">
        <v>0</v>
      </c>
      <c r="L185" s="7">
        <v>0</v>
      </c>
      <c r="M185" s="7">
        <v>0</v>
      </c>
      <c r="N18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v>
      </c>
      <c r="O18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v>
      </c>
      <c r="P185" s="14">
        <f>IF(data[[#This Row],[Weighted_Avg]]&lt;&gt;"", IFERROR(AVERAGE(O173,O161,O149), ""), "")</f>
        <v>0.25979653422089566</v>
      </c>
      <c r="Q185" s="14" t="b">
        <f>IF(data[[#This Row],[Date]]&gt;MAX(data[Date])-750, TRUE, FALSE)</f>
        <v>0</v>
      </c>
      <c r="R185" s="3">
        <v>0.29499999999999998</v>
      </c>
      <c r="S185" s="3">
        <v>0.03</v>
      </c>
      <c r="T185">
        <v>2.1520000000000001</v>
      </c>
    </row>
    <row r="186" spans="1:20">
      <c r="A186" s="4">
        <v>42505</v>
      </c>
      <c r="B186">
        <f>YEAR(data[[#This Row],[Date]])</f>
        <v>2016</v>
      </c>
      <c r="C186" s="6">
        <f t="shared" si="19"/>
        <v>0.22</v>
      </c>
      <c r="D186" s="7">
        <f t="shared" si="15"/>
        <v>-0.1</v>
      </c>
      <c r="E186" s="7">
        <f t="shared" si="16"/>
        <v>0</v>
      </c>
      <c r="F186" s="7">
        <f t="shared" si="20"/>
        <v>0</v>
      </c>
      <c r="G186" s="19">
        <v>0</v>
      </c>
      <c r="H186" s="15">
        <f>AVERAGE(0, 0)</f>
        <v>0</v>
      </c>
      <c r="I186" s="7">
        <f t="shared" si="17"/>
        <v>0.03</v>
      </c>
      <c r="J186" s="7">
        <f t="shared" si="18"/>
        <v>0</v>
      </c>
      <c r="K186" s="7">
        <v>0</v>
      </c>
      <c r="L186" s="7">
        <v>0</v>
      </c>
      <c r="M186" s="7">
        <v>0</v>
      </c>
      <c r="N18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v>
      </c>
      <c r="O18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v>
      </c>
      <c r="P186" s="14">
        <f>IF(data[[#This Row],[Weighted_Avg]]&lt;&gt;"", IFERROR(AVERAGE(O174,O162,O150), ""), "")</f>
        <v>0.25507629597242831</v>
      </c>
      <c r="Q186" s="14" t="b">
        <f>IF(data[[#This Row],[Date]]&gt;MAX(data[Date])-750, TRUE, FALSE)</f>
        <v>0</v>
      </c>
      <c r="R186" s="3">
        <v>0.29499999999999998</v>
      </c>
      <c r="S186" s="3">
        <v>0.03</v>
      </c>
      <c r="T186">
        <v>2.3149999999999999</v>
      </c>
    </row>
    <row r="187" spans="1:20">
      <c r="A187" s="4">
        <v>42536</v>
      </c>
      <c r="B187">
        <f>YEAR(data[[#This Row],[Date]])</f>
        <v>2016</v>
      </c>
      <c r="C187" s="6">
        <f t="shared" si="19"/>
        <v>0.23</v>
      </c>
      <c r="D187" s="7">
        <f t="shared" si="15"/>
        <v>-0.08</v>
      </c>
      <c r="E187" s="7">
        <f t="shared" si="16"/>
        <v>0</v>
      </c>
      <c r="F187" s="7">
        <f t="shared" si="20"/>
        <v>0</v>
      </c>
      <c r="G187" s="19">
        <v>0</v>
      </c>
      <c r="H187" s="15">
        <f>AVERAGE(0.005, 0.02)</f>
        <v>1.2500000000000001E-2</v>
      </c>
      <c r="I187" s="7">
        <f t="shared" si="17"/>
        <v>0.04</v>
      </c>
      <c r="J187" s="7">
        <f t="shared" si="18"/>
        <v>0</v>
      </c>
      <c r="K187" s="7">
        <v>0</v>
      </c>
      <c r="L187" s="7">
        <v>0</v>
      </c>
      <c r="M187" s="7">
        <v>0</v>
      </c>
      <c r="N18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1.7857142857142859E-3</v>
      </c>
      <c r="O18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1.8220412347718486E-3</v>
      </c>
      <c r="P187" s="14">
        <f>IF(data[[#This Row],[Weighted_Avg]]&lt;&gt;"", IFERROR(AVERAGE(O175,O163,O151), ""), "")</f>
        <v>0.24225114870290052</v>
      </c>
      <c r="Q187" s="14" t="b">
        <f>IF(data[[#This Row],[Date]]&gt;MAX(data[Date])-750, TRUE, FALSE)</f>
        <v>0</v>
      </c>
      <c r="R187" s="3">
        <v>0.29499999999999998</v>
      </c>
      <c r="S187" s="3">
        <v>0.03</v>
      </c>
      <c r="T187">
        <v>2.423</v>
      </c>
    </row>
    <row r="188" spans="1:20">
      <c r="A188" s="4">
        <v>42566</v>
      </c>
      <c r="B188">
        <f>YEAR(data[[#This Row],[Date]])</f>
        <v>2016</v>
      </c>
      <c r="C188" s="6">
        <f t="shared" si="19"/>
        <v>0.27</v>
      </c>
      <c r="D188" s="7">
        <f t="shared" si="15"/>
        <v>-0.04</v>
      </c>
      <c r="E188" s="7">
        <f t="shared" si="16"/>
        <v>0</v>
      </c>
      <c r="F188" s="7">
        <f t="shared" si="20"/>
        <v>0</v>
      </c>
      <c r="G188" s="19">
        <v>5.7999999999999996E-3</v>
      </c>
      <c r="H188" s="15">
        <f>AVERAGE(0.035, 0.04)</f>
        <v>3.7500000000000006E-2</v>
      </c>
      <c r="I188" s="7">
        <f t="shared" si="17"/>
        <v>0.08</v>
      </c>
      <c r="J188" s="7">
        <f t="shared" si="18"/>
        <v>0</v>
      </c>
      <c r="K188" s="7">
        <v>0.05</v>
      </c>
      <c r="L188" s="7">
        <v>0</v>
      </c>
      <c r="M188" s="7">
        <v>0.05</v>
      </c>
      <c r="N18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2.0471428571428574E-2</v>
      </c>
      <c r="O18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1.6901207454106879E-2</v>
      </c>
      <c r="P188" s="14">
        <f>IF(data[[#This Row],[Weighted_Avg]]&lt;&gt;"", IFERROR(AVERAGE(O176,O164,O152), ""), "")</f>
        <v>0.23991272877985251</v>
      </c>
      <c r="Q188" s="14" t="b">
        <f>IF(data[[#This Row],[Date]]&gt;MAX(data[Date])-750, TRUE, FALSE)</f>
        <v>0</v>
      </c>
      <c r="R188" s="3">
        <v>0.29499999999999998</v>
      </c>
      <c r="S188" s="3">
        <v>0.03</v>
      </c>
      <c r="T188">
        <v>2.4049999999999998</v>
      </c>
    </row>
    <row r="189" spans="1:20">
      <c r="A189" s="4">
        <v>42597</v>
      </c>
      <c r="B189">
        <f>YEAR(data[[#This Row],[Date]])</f>
        <v>2016</v>
      </c>
      <c r="C189" s="6">
        <f t="shared" si="19"/>
        <v>0.3</v>
      </c>
      <c r="D189" s="7">
        <f t="shared" ref="D189:D252" si="21">IF(T187&gt;2.5,ROUNDDOWN((T187-2.5)/0.04,0)+1,ROUNDUP((T187-2.5)/0.04,0)+1)/100</f>
        <v>-0.01</v>
      </c>
      <c r="E189" s="7">
        <f t="shared" si="16"/>
        <v>0</v>
      </c>
      <c r="F189" s="7">
        <f t="shared" si="20"/>
        <v>0</v>
      </c>
      <c r="G189" s="19">
        <v>2.8799999999999999E-2</v>
      </c>
      <c r="H189" s="15">
        <f>AVERAGE(0.04, 0.03)</f>
        <v>3.5000000000000003E-2</v>
      </c>
      <c r="I189" s="7">
        <f t="shared" si="17"/>
        <v>0.11</v>
      </c>
      <c r="J189" s="7">
        <f t="shared" si="18"/>
        <v>0</v>
      </c>
      <c r="K189" s="7">
        <v>0.08</v>
      </c>
      <c r="L189" s="7">
        <v>0</v>
      </c>
      <c r="M189" s="7">
        <v>7.0000000000000007E-2</v>
      </c>
      <c r="N18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3.0542857142857142E-2</v>
      </c>
      <c r="O18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2.3875286628393701E-2</v>
      </c>
      <c r="P189" s="14">
        <f>IF(data[[#This Row],[Weighted_Avg]]&lt;&gt;"", IFERROR(AVERAGE(O177,O165,O153), ""), "")</f>
        <v>0.23571032154251359</v>
      </c>
      <c r="Q189" s="14" t="b">
        <f>IF(data[[#This Row],[Date]]&gt;MAX(data[Date])-750, TRUE, FALSE)</f>
        <v>0</v>
      </c>
      <c r="R189" s="3">
        <v>0.29499999999999998</v>
      </c>
      <c r="S189" s="3">
        <v>0.03</v>
      </c>
      <c r="T189">
        <v>2.351</v>
      </c>
    </row>
    <row r="190" spans="1:20">
      <c r="A190" s="4">
        <v>42628</v>
      </c>
      <c r="B190">
        <f>YEAR(data[[#This Row],[Date]])</f>
        <v>2016</v>
      </c>
      <c r="C190" s="6">
        <f t="shared" si="19"/>
        <v>0.28999999999999998</v>
      </c>
      <c r="D190" s="7">
        <f t="shared" si="21"/>
        <v>-0.02</v>
      </c>
      <c r="E190" s="7">
        <f t="shared" si="16"/>
        <v>0</v>
      </c>
      <c r="F190" s="7">
        <f t="shared" si="20"/>
        <v>0</v>
      </c>
      <c r="G190" s="19">
        <v>2.3E-2</v>
      </c>
      <c r="H190" s="15">
        <f>AVERAGE(0.02, 0.02)</f>
        <v>0.02</v>
      </c>
      <c r="I190" s="7">
        <f t="shared" si="17"/>
        <v>0.11</v>
      </c>
      <c r="J190" s="7">
        <f t="shared" si="18"/>
        <v>0</v>
      </c>
      <c r="K190" s="7">
        <v>7.0000000000000007E-2</v>
      </c>
      <c r="L190" s="7">
        <v>0</v>
      </c>
      <c r="M190" s="7">
        <v>7.0000000000000007E-2</v>
      </c>
      <c r="N19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2.6142857142857141E-2</v>
      </c>
      <c r="O19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2.0711471403562231E-2</v>
      </c>
      <c r="P190" s="14">
        <f>IF(data[[#This Row],[Weighted_Avg]]&lt;&gt;"", IFERROR(AVERAGE(O178,O166,O154), ""), "")</f>
        <v>0.23130619546209821</v>
      </c>
      <c r="Q190" s="14" t="b">
        <f>IF(data[[#This Row],[Date]]&gt;MAX(data[Date])-750, TRUE, FALSE)</f>
        <v>0</v>
      </c>
      <c r="R190" s="3">
        <v>0.29499999999999998</v>
      </c>
      <c r="S190" s="3">
        <v>3.5000000000000003E-2</v>
      </c>
      <c r="T190">
        <v>2.3940000000000001</v>
      </c>
    </row>
    <row r="191" spans="1:20">
      <c r="A191" s="4">
        <v>42658</v>
      </c>
      <c r="B191">
        <f>YEAR(data[[#This Row],[Date]])</f>
        <v>2016</v>
      </c>
      <c r="C191" s="6">
        <f t="shared" si="19"/>
        <v>0.28000000000000003</v>
      </c>
      <c r="D191" s="7">
        <f t="shared" si="21"/>
        <v>-0.03</v>
      </c>
      <c r="E191" s="7">
        <f t="shared" si="16"/>
        <v>0</v>
      </c>
      <c r="F191" s="7">
        <f t="shared" si="20"/>
        <v>0</v>
      </c>
      <c r="G191" s="19">
        <v>1.15E-2</v>
      </c>
      <c r="H191" s="15">
        <f>AVERAGE(0.035, 0.035)</f>
        <v>3.5000000000000003E-2</v>
      </c>
      <c r="I191" s="7">
        <f t="shared" si="17"/>
        <v>0.09</v>
      </c>
      <c r="J191" s="7">
        <f t="shared" si="18"/>
        <v>0</v>
      </c>
      <c r="K191" s="7">
        <v>0.06</v>
      </c>
      <c r="L191" s="7">
        <v>0</v>
      </c>
      <c r="M191" s="7">
        <v>0.06</v>
      </c>
      <c r="N19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2.3785714285714282E-2</v>
      </c>
      <c r="O19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1.9369070011486855E-2</v>
      </c>
      <c r="P191" s="14">
        <f>IF(data[[#This Row],[Weighted_Avg]]&lt;&gt;"", IFERROR(AVERAGE(O179,O167,O155), ""), "")</f>
        <v>0.22607496730105855</v>
      </c>
      <c r="Q191" s="14" t="b">
        <f>IF(data[[#This Row],[Date]]&gt;MAX(data[Date])-750, TRUE, FALSE)</f>
        <v>0</v>
      </c>
      <c r="R191" s="3">
        <v>0.3</v>
      </c>
      <c r="S191" s="3">
        <v>4.4999999999999998E-2</v>
      </c>
      <c r="T191">
        <v>2.4540000000000002</v>
      </c>
    </row>
    <row r="192" spans="1:20">
      <c r="A192" s="4">
        <v>42689</v>
      </c>
      <c r="B192">
        <f>YEAR(data[[#This Row],[Date]])</f>
        <v>2016</v>
      </c>
      <c r="C192" s="6">
        <f t="shared" si="19"/>
        <v>0.28999999999999998</v>
      </c>
      <c r="D192" s="7">
        <f t="shared" si="21"/>
        <v>-0.02</v>
      </c>
      <c r="E192" s="7">
        <f t="shared" si="16"/>
        <v>0</v>
      </c>
      <c r="F192" s="7">
        <f t="shared" si="20"/>
        <v>0</v>
      </c>
      <c r="G192" s="19">
        <v>2.3E-2</v>
      </c>
      <c r="H192" s="15">
        <f>AVERAGE(0.035, 0.05)</f>
        <v>4.2500000000000003E-2</v>
      </c>
      <c r="I192" s="7">
        <f t="shared" si="17"/>
        <v>0.1</v>
      </c>
      <c r="J192" s="7">
        <f t="shared" si="18"/>
        <v>0</v>
      </c>
      <c r="K192" s="7">
        <v>7.0000000000000007E-2</v>
      </c>
      <c r="L192" s="7">
        <v>0</v>
      </c>
      <c r="M192" s="7">
        <v>0.06</v>
      </c>
      <c r="N19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2.7928571428571431E-2</v>
      </c>
      <c r="O19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2.2124230563724746E-2</v>
      </c>
      <c r="P192" s="14">
        <f>IF(data[[#This Row],[Weighted_Avg]]&lt;&gt;"", IFERROR(AVERAGE(O180,O168,O156), ""), "")</f>
        <v>0.22238612549927961</v>
      </c>
      <c r="Q192" s="14" t="b">
        <f>IF(data[[#This Row],[Date]]&gt;MAX(data[Date])-750, TRUE, FALSE)</f>
        <v>0</v>
      </c>
      <c r="R192" s="3">
        <v>0.315</v>
      </c>
      <c r="S192" s="3">
        <v>0.05</v>
      </c>
      <c r="T192">
        <v>2.4390000000000001</v>
      </c>
    </row>
    <row r="193" spans="1:28">
      <c r="A193" s="4">
        <v>42719</v>
      </c>
      <c r="B193">
        <f>YEAR(data[[#This Row],[Date]])</f>
        <v>2016</v>
      </c>
      <c r="C193" s="6">
        <f t="shared" si="19"/>
        <v>0.31</v>
      </c>
      <c r="D193" s="7">
        <f t="shared" si="21"/>
        <v>-0.01</v>
      </c>
      <c r="E193" s="7">
        <f t="shared" si="16"/>
        <v>0</v>
      </c>
      <c r="F193" s="7">
        <f t="shared" si="20"/>
        <v>0</v>
      </c>
      <c r="G193" s="19">
        <v>3.4500000000000003E-2</v>
      </c>
      <c r="H193" s="15">
        <f>AVERAGE(0.05, 0.04)</f>
        <v>4.4999999999999998E-2</v>
      </c>
      <c r="I193" s="7">
        <f t="shared" si="17"/>
        <v>0.12</v>
      </c>
      <c r="J193" s="7">
        <f t="shared" si="18"/>
        <v>0</v>
      </c>
      <c r="K193" s="7">
        <v>0.08</v>
      </c>
      <c r="L193" s="7">
        <v>0</v>
      </c>
      <c r="M193" s="7">
        <v>0.08</v>
      </c>
      <c r="N19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3.4214285714285711E-2</v>
      </c>
      <c r="O19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2.7884404746907517E-2</v>
      </c>
      <c r="P193" s="14">
        <f>IF(data[[#This Row],[Weighted_Avg]]&lt;&gt;"", IFERROR(AVERAGE(O181,O169,O157), ""), "")</f>
        <v>0.21043800484797437</v>
      </c>
      <c r="Q193" s="14" t="b">
        <f>IF(data[[#This Row],[Date]]&gt;MAX(data[Date])-750, TRUE, FALSE)</f>
        <v>0</v>
      </c>
      <c r="R193" s="3">
        <v>0.32</v>
      </c>
      <c r="S193" s="3">
        <v>0.05</v>
      </c>
      <c r="T193">
        <v>2.5099999999999998</v>
      </c>
    </row>
    <row r="194" spans="1:28">
      <c r="A194" s="4">
        <v>42750</v>
      </c>
      <c r="B194">
        <f>YEAR(data[[#This Row],[Date]])</f>
        <v>2017</v>
      </c>
      <c r="C194" s="6">
        <f t="shared" si="19"/>
        <v>0.3</v>
      </c>
      <c r="D194" s="7">
        <f t="shared" si="21"/>
        <v>-0.01</v>
      </c>
      <c r="E194" s="7">
        <f t="shared" si="16"/>
        <v>0</v>
      </c>
      <c r="F194" s="7">
        <f t="shared" si="20"/>
        <v>0</v>
      </c>
      <c r="G194" s="19">
        <v>2.8799999999999999E-2</v>
      </c>
      <c r="H194" s="15">
        <f>AVERAGE(0.045, 0.06)</f>
        <v>5.2499999999999998E-2</v>
      </c>
      <c r="I194" s="7">
        <f t="shared" si="17"/>
        <v>0.11</v>
      </c>
      <c r="J194" s="7">
        <f t="shared" si="18"/>
        <v>0</v>
      </c>
      <c r="K194" s="7">
        <v>0.08</v>
      </c>
      <c r="L194" s="7">
        <v>0</v>
      </c>
      <c r="M194" s="7">
        <v>7.0000000000000007E-2</v>
      </c>
      <c r="N19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3.3042857142857145E-2</v>
      </c>
      <c r="O19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2.2748282902011949E-2</v>
      </c>
      <c r="P194" s="14">
        <f>IF(data[[#This Row],[Weighted_Avg]]&lt;&gt;"", IFERROR(AVERAGE(O182,O170,O158), ""), "")</f>
        <v>0.19247836549974187</v>
      </c>
      <c r="Q194" s="14" t="b">
        <f>IF(data[[#This Row],[Date]]&gt;MAX(data[Date])-750, TRUE, FALSE)</f>
        <v>0</v>
      </c>
      <c r="R194" s="3">
        <v>0.32</v>
      </c>
      <c r="S194" s="3">
        <v>0.1</v>
      </c>
      <c r="T194">
        <v>2.58</v>
      </c>
      <c r="X194" t="s">
        <v>28</v>
      </c>
    </row>
    <row r="195" spans="1:28">
      <c r="A195" s="4">
        <v>42781</v>
      </c>
      <c r="B195">
        <f>YEAR(data[[#This Row],[Date]])</f>
        <v>2017</v>
      </c>
      <c r="C195" s="6">
        <f t="shared" si="19"/>
        <v>0.32</v>
      </c>
      <c r="D195" s="7">
        <f t="shared" si="21"/>
        <v>0.01</v>
      </c>
      <c r="E195" s="7">
        <f t="shared" si="16"/>
        <v>0</v>
      </c>
      <c r="F195" s="7">
        <f t="shared" si="20"/>
        <v>0</v>
      </c>
      <c r="G195" s="19">
        <v>4.5999999999999999E-2</v>
      </c>
      <c r="H195" s="15">
        <f>AVERAGE(0.075, 0.07)</f>
        <v>7.2500000000000009E-2</v>
      </c>
      <c r="I195" s="7">
        <f t="shared" si="17"/>
        <v>0.13</v>
      </c>
      <c r="J195" s="7">
        <f t="shared" si="18"/>
        <v>0</v>
      </c>
      <c r="K195" s="7">
        <v>0.1</v>
      </c>
      <c r="L195" s="7">
        <v>0</v>
      </c>
      <c r="M195" s="7">
        <v>0.09</v>
      </c>
      <c r="N19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4.4071428571428574E-2</v>
      </c>
      <c r="O19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2.9977872238442629E-2</v>
      </c>
      <c r="P195" s="14">
        <f>IF(data[[#This Row],[Weighted_Avg]]&lt;&gt;"", IFERROR(AVERAGE(O183,O171,O159), ""), "")</f>
        <v>0.14837200396931829</v>
      </c>
      <c r="Q195" s="14" t="b">
        <f>IF(data[[#This Row],[Date]]&gt;MAX(data[Date])-750, TRUE, FALSE)</f>
        <v>0</v>
      </c>
      <c r="R195" s="3">
        <v>0.32</v>
      </c>
      <c r="S195" s="3">
        <v>0.1</v>
      </c>
      <c r="T195">
        <v>2.5680000000000001</v>
      </c>
      <c r="V195" t="s">
        <v>29</v>
      </c>
      <c r="W195" t="s">
        <v>30</v>
      </c>
      <c r="X195" t="s">
        <v>31</v>
      </c>
      <c r="Y195" t="s">
        <v>32</v>
      </c>
      <c r="Z195" t="s">
        <v>33</v>
      </c>
    </row>
    <row r="196" spans="1:28">
      <c r="A196" s="4">
        <v>42809</v>
      </c>
      <c r="B196">
        <f>YEAR(data[[#This Row],[Date]])</f>
        <v>2017</v>
      </c>
      <c r="C196" s="6">
        <f t="shared" si="19"/>
        <v>0.34</v>
      </c>
      <c r="D196" s="7">
        <f t="shared" si="21"/>
        <v>0.03</v>
      </c>
      <c r="E196" s="7">
        <f t="shared" ref="E196:E259" si="22">IF(T194&gt;3.25, ROUNDDOWN((T194-3.25)/0.04, 0)+1, 0)/100</f>
        <v>0</v>
      </c>
      <c r="F196" s="7">
        <f t="shared" si="20"/>
        <v>0</v>
      </c>
      <c r="G196" s="19">
        <v>5.7500000000000002E-2</v>
      </c>
      <c r="H196" s="15">
        <f>AVERAGE(0.065, 0.07)</f>
        <v>6.7500000000000004E-2</v>
      </c>
      <c r="I196" s="7">
        <f t="shared" ref="I196:I259" si="23">IF(T194&gt;2, ROUNDDOWN((T194-2)/0.04, 0)+1, 0)/100</f>
        <v>0.15</v>
      </c>
      <c r="J196" s="7">
        <f t="shared" ref="J196:J259" si="24">IF(T194&gt;=3.75, ROUNDDOWN((T194-3.75)/0.04, 0)+1, 0)/100</f>
        <v>0</v>
      </c>
      <c r="K196" s="7">
        <v>0.12</v>
      </c>
      <c r="L196" s="7">
        <v>0</v>
      </c>
      <c r="M196" s="7">
        <v>0.1</v>
      </c>
      <c r="N19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4.928571428571428E-2</v>
      </c>
      <c r="O19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3.2695208394657081E-2</v>
      </c>
      <c r="P196" s="14">
        <f>IF(data[[#This Row],[Weighted_Avg]]&lt;&gt;"", IFERROR(AVERAGE(O184,O172,O160), ""), "")</f>
        <v>0.13346407546937303</v>
      </c>
      <c r="Q196" s="14" t="b">
        <f>IF(data[[#This Row],[Date]]&gt;MAX(data[Date])-750, TRUE, FALSE)</f>
        <v>0</v>
      </c>
      <c r="R196" s="3">
        <f t="shared" ref="R196:R227" si="25">AVERAGEIFS(Z:Z,X:X,  "&lt;="&amp;V196,Y:Y, "&gt;="&amp;V196)</f>
        <v>0.38500000000000001</v>
      </c>
      <c r="S196" s="3">
        <v>0.1</v>
      </c>
      <c r="T196">
        <v>2.5539999999999998</v>
      </c>
      <c r="V196" s="47">
        <v>14.409000000000001</v>
      </c>
      <c r="W196" s="44">
        <v>0.45</v>
      </c>
      <c r="X196" s="47">
        <v>11.679</v>
      </c>
      <c r="Y196" s="47">
        <v>11.827</v>
      </c>
      <c r="Z196">
        <v>0.29499999999999998</v>
      </c>
      <c r="AA196" s="47">
        <f>Y196-X196</f>
        <v>0.14799999999999969</v>
      </c>
    </row>
    <row r="197" spans="1:28">
      <c r="A197" s="4">
        <v>42840</v>
      </c>
      <c r="B197">
        <f>YEAR(data[[#This Row],[Date]])</f>
        <v>2017</v>
      </c>
      <c r="C197" s="6">
        <f t="shared" si="19"/>
        <v>0.33</v>
      </c>
      <c r="D197" s="7">
        <f t="shared" si="21"/>
        <v>0.02</v>
      </c>
      <c r="E197" s="7">
        <f t="shared" si="22"/>
        <v>0</v>
      </c>
      <c r="F197" s="7">
        <f t="shared" si="20"/>
        <v>0</v>
      </c>
      <c r="G197" s="19">
        <v>5.1799999999999999E-2</v>
      </c>
      <c r="H197" s="15">
        <f>AVERAGE( 0.07,0.065)</f>
        <v>6.7500000000000004E-2</v>
      </c>
      <c r="I197" s="7">
        <f t="shared" si="23"/>
        <v>0.15</v>
      </c>
      <c r="J197" s="7">
        <f t="shared" si="24"/>
        <v>0</v>
      </c>
      <c r="K197" s="7">
        <v>0.11</v>
      </c>
      <c r="L197" s="7">
        <v>0</v>
      </c>
      <c r="M197" s="7">
        <v>0.1</v>
      </c>
      <c r="N19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4.704285714285715E-2</v>
      </c>
      <c r="O19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3.2235558059332217E-2</v>
      </c>
      <c r="P197" s="14">
        <f>IF(data[[#This Row],[Weighted_Avg]]&lt;&gt;"", IFERROR(AVERAGE(O185,O173,O161), ""), "")</f>
        <v>0.13767361547784326</v>
      </c>
      <c r="Q197" s="14" t="b">
        <f>IF(data[[#This Row],[Date]]&gt;MAX(data[Date])-750, TRUE, FALSE)</f>
        <v>0</v>
      </c>
      <c r="R197" s="3">
        <f t="shared" si="25"/>
        <v>0.38</v>
      </c>
      <c r="S197" s="3">
        <v>0.1</v>
      </c>
      <c r="T197">
        <v>2.5830000000000002</v>
      </c>
      <c r="V197" s="47">
        <v>14.358000000000001</v>
      </c>
      <c r="W197" s="45">
        <v>0.47</v>
      </c>
      <c r="X197" s="47">
        <v>11.827999999999999</v>
      </c>
      <c r="Y197" s="47">
        <v>11.976000000000001</v>
      </c>
      <c r="Z197">
        <v>0.3</v>
      </c>
      <c r="AA197" s="47">
        <f t="shared" ref="AA197:AA219" si="26">Y197-X197</f>
        <v>0.14800000000000146</v>
      </c>
      <c r="AB197">
        <f>Z197-Z196</f>
        <v>5.0000000000000044E-3</v>
      </c>
    </row>
    <row r="198" spans="1:28">
      <c r="A198" s="4">
        <v>42870</v>
      </c>
      <c r="B198">
        <f>YEAR(data[[#This Row],[Date]])</f>
        <v>2017</v>
      </c>
      <c r="C198" s="6">
        <f t="shared" ref="C198:C261" si="27">IF(T196&gt;1.25, ROUNDDOWN((T196-1.25)/0.04, 0)+1, 0)/100</f>
        <v>0.33</v>
      </c>
      <c r="D198" s="7">
        <f t="shared" si="21"/>
        <v>0.02</v>
      </c>
      <c r="E198" s="7">
        <f t="shared" si="22"/>
        <v>0</v>
      </c>
      <c r="F198" s="7">
        <f t="shared" si="20"/>
        <v>0</v>
      </c>
      <c r="G198" s="19">
        <v>5.1799999999999999E-2</v>
      </c>
      <c r="H198" s="15">
        <f>AVERAGE( 0.065,0.075)</f>
        <v>7.0000000000000007E-2</v>
      </c>
      <c r="I198" s="7">
        <f t="shared" si="23"/>
        <v>0.14000000000000001</v>
      </c>
      <c r="J198" s="7">
        <f t="shared" si="24"/>
        <v>0</v>
      </c>
      <c r="K198" s="7">
        <v>0.11</v>
      </c>
      <c r="L198" s="7">
        <v>0</v>
      </c>
      <c r="M198" s="7">
        <v>0.1</v>
      </c>
      <c r="N19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4.7399999999999998E-2</v>
      </c>
      <c r="O19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3.2441996157487329E-2</v>
      </c>
      <c r="P198" s="14">
        <f>IF(data[[#This Row],[Weighted_Avg]]&lt;&gt;"", IFERROR(AVERAGE(O186,O174,O162), ""), "")</f>
        <v>0.13716383932760048</v>
      </c>
      <c r="Q198" s="14" t="b">
        <f>IF(data[[#This Row],[Date]]&gt;MAX(data[Date])-750, TRUE, FALSE)</f>
        <v>0</v>
      </c>
      <c r="R198" s="3">
        <f t="shared" si="25"/>
        <v>0.38</v>
      </c>
      <c r="S198" s="3">
        <v>9.5000000000000001E-2</v>
      </c>
      <c r="T198">
        <v>2.56</v>
      </c>
      <c r="V198" s="47">
        <v>14.255000000000001</v>
      </c>
      <c r="W198" s="44">
        <v>0.49</v>
      </c>
      <c r="X198" s="47">
        <v>11.977</v>
      </c>
      <c r="Y198" s="47">
        <v>12.125</v>
      </c>
      <c r="Z198">
        <v>0.30499999999999999</v>
      </c>
      <c r="AA198" s="47">
        <f t="shared" si="26"/>
        <v>0.14799999999999969</v>
      </c>
      <c r="AB198">
        <f t="shared" ref="AB198:AB219" si="28">Z198-Z197</f>
        <v>5.0000000000000044E-3</v>
      </c>
    </row>
    <row r="199" spans="1:28">
      <c r="A199" s="4">
        <v>42901</v>
      </c>
      <c r="B199">
        <f>YEAR(data[[#This Row],[Date]])</f>
        <v>2017</v>
      </c>
      <c r="C199" s="6">
        <f t="shared" si="27"/>
        <v>0.34</v>
      </c>
      <c r="D199" s="7">
        <f t="shared" si="21"/>
        <v>0.03</v>
      </c>
      <c r="E199" s="7">
        <f t="shared" si="22"/>
        <v>0</v>
      </c>
      <c r="F199" s="7">
        <f t="shared" si="20"/>
        <v>0</v>
      </c>
      <c r="G199" s="19">
        <v>5.7500000000000002E-2</v>
      </c>
      <c r="H199" s="15">
        <f>AVERAGE(0.07, 0.065)</f>
        <v>6.7500000000000004E-2</v>
      </c>
      <c r="I199" s="7">
        <f t="shared" si="23"/>
        <v>0.15</v>
      </c>
      <c r="J199" s="7">
        <f t="shared" si="24"/>
        <v>0</v>
      </c>
      <c r="K199" s="7">
        <v>0.12</v>
      </c>
      <c r="L199" s="7">
        <v>0</v>
      </c>
      <c r="M199" s="7">
        <v>0.1</v>
      </c>
      <c r="N19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4.928571428571428E-2</v>
      </c>
      <c r="O19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3.2695208394657081E-2</v>
      </c>
      <c r="P199" s="14">
        <f>IF(data[[#This Row],[Weighted_Avg]]&lt;&gt;"", IFERROR(AVERAGE(O187,O175,O163), ""), "")</f>
        <v>0.13416115329252856</v>
      </c>
      <c r="Q199" s="14" t="b">
        <f>IF(data[[#This Row],[Date]]&gt;MAX(data[Date])-750, TRUE, FALSE)</f>
        <v>0</v>
      </c>
      <c r="R199" s="3">
        <f t="shared" si="25"/>
        <v>0.375</v>
      </c>
      <c r="S199" s="3">
        <v>9.5000000000000001E-2</v>
      </c>
      <c r="T199">
        <v>2.5110000000000001</v>
      </c>
      <c r="V199" s="47">
        <v>14.185</v>
      </c>
      <c r="W199" s="46">
        <v>0.5</v>
      </c>
      <c r="X199" s="47">
        <v>12.125999999999999</v>
      </c>
      <c r="Y199" s="47">
        <v>12.273999999999999</v>
      </c>
      <c r="Z199">
        <v>0.31</v>
      </c>
      <c r="AA199" s="47">
        <f t="shared" si="26"/>
        <v>0.14799999999999969</v>
      </c>
      <c r="AB199">
        <f t="shared" si="28"/>
        <v>5.0000000000000044E-3</v>
      </c>
    </row>
    <row r="200" spans="1:28">
      <c r="A200" s="4">
        <v>42931</v>
      </c>
      <c r="B200">
        <f>YEAR(data[[#This Row],[Date]])</f>
        <v>2017</v>
      </c>
      <c r="C200" s="6">
        <f t="shared" si="27"/>
        <v>0.33</v>
      </c>
      <c r="D200" s="7">
        <f t="shared" si="21"/>
        <v>0.02</v>
      </c>
      <c r="E200" s="7">
        <f t="shared" si="22"/>
        <v>0</v>
      </c>
      <c r="F200" s="7">
        <f t="shared" si="20"/>
        <v>0</v>
      </c>
      <c r="G200" s="19">
        <v>5.1799999999999999E-2</v>
      </c>
      <c r="H200" s="15">
        <f>AVERAGE(0.07, 0.055)</f>
        <v>6.25E-2</v>
      </c>
      <c r="I200" s="7">
        <f t="shared" si="23"/>
        <v>0.15</v>
      </c>
      <c r="J200" s="7">
        <f t="shared" si="24"/>
        <v>0</v>
      </c>
      <c r="K200" s="7">
        <v>0.11</v>
      </c>
      <c r="L200" s="7">
        <v>0</v>
      </c>
      <c r="M200" s="7">
        <v>0.1</v>
      </c>
      <c r="N20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4.6328571428571434E-2</v>
      </c>
      <c r="O20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3.1822681863021979E-2</v>
      </c>
      <c r="P200" s="14">
        <f>IF(data[[#This Row],[Weighted_Avg]]&lt;&gt;"", IFERROR(AVERAGE(O188,O176,O164), ""), "")</f>
        <v>0.13947692873284886</v>
      </c>
      <c r="Q200" s="14" t="b">
        <f>IF(data[[#This Row],[Date]]&gt;MAX(data[Date])-750, TRUE, FALSE)</f>
        <v>0</v>
      </c>
      <c r="R200" s="3">
        <f t="shared" si="25"/>
        <v>0.375</v>
      </c>
      <c r="S200" s="3">
        <v>0.09</v>
      </c>
      <c r="T200">
        <v>2.496</v>
      </c>
      <c r="V200" s="47">
        <v>14.121</v>
      </c>
      <c r="W200">
        <v>0.5</v>
      </c>
      <c r="X200" s="47">
        <v>12.275</v>
      </c>
      <c r="Y200" s="47">
        <v>12.423</v>
      </c>
      <c r="Z200">
        <v>0.315</v>
      </c>
      <c r="AA200" s="47">
        <f t="shared" si="26"/>
        <v>0.14799999999999969</v>
      </c>
      <c r="AB200">
        <f t="shared" si="28"/>
        <v>5.0000000000000044E-3</v>
      </c>
    </row>
    <row r="201" spans="1:28">
      <c r="A201" s="4">
        <v>42962</v>
      </c>
      <c r="B201">
        <f>YEAR(data[[#This Row],[Date]])</f>
        <v>2017</v>
      </c>
      <c r="C201" s="6">
        <f t="shared" si="27"/>
        <v>0.32</v>
      </c>
      <c r="D201" s="7">
        <f t="shared" si="21"/>
        <v>0.01</v>
      </c>
      <c r="E201" s="7">
        <f t="shared" si="22"/>
        <v>0</v>
      </c>
      <c r="F201" s="7">
        <f t="shared" si="20"/>
        <v>0</v>
      </c>
      <c r="G201" s="19">
        <v>4.5999999999999999E-2</v>
      </c>
      <c r="H201" s="15">
        <f>AVERAGE(0.05, 0.055)</f>
        <v>5.2500000000000005E-2</v>
      </c>
      <c r="I201" s="7">
        <f t="shared" si="23"/>
        <v>0.13</v>
      </c>
      <c r="J201" s="7">
        <f t="shared" si="24"/>
        <v>0</v>
      </c>
      <c r="K201" s="7">
        <v>0.1</v>
      </c>
      <c r="L201" s="7">
        <v>0</v>
      </c>
      <c r="M201" s="7">
        <v>0.09</v>
      </c>
      <c r="N20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4.121428571428571E-2</v>
      </c>
      <c r="O20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2.8326367453201697E-2</v>
      </c>
      <c r="P201" s="14">
        <f>IF(data[[#This Row],[Weighted_Avg]]&lt;&gt;"", IFERROR(AVERAGE(O189,O177,O165), ""), "")</f>
        <v>0.13955785168616724</v>
      </c>
      <c r="Q201" s="14" t="b">
        <f>IF(data[[#This Row],[Date]]&gt;MAX(data[Date])-750, TRUE, FALSE)</f>
        <v>0</v>
      </c>
      <c r="R201" s="3">
        <f t="shared" si="25"/>
        <v>0.37</v>
      </c>
      <c r="S201" s="3">
        <v>0.09</v>
      </c>
      <c r="T201">
        <v>2.5950000000000002</v>
      </c>
      <c r="V201" s="47">
        <v>14.003</v>
      </c>
      <c r="W201">
        <v>0.51</v>
      </c>
      <c r="X201" s="47">
        <v>12.423999999999999</v>
      </c>
      <c r="Y201" s="47">
        <v>12.571999999999999</v>
      </c>
      <c r="Z201">
        <v>0.32</v>
      </c>
      <c r="AA201" s="47">
        <f t="shared" si="26"/>
        <v>0.14799999999999969</v>
      </c>
      <c r="AB201">
        <f t="shared" si="28"/>
        <v>5.0000000000000044E-3</v>
      </c>
    </row>
    <row r="202" spans="1:28">
      <c r="A202" s="4">
        <v>42993</v>
      </c>
      <c r="B202">
        <f>YEAR(data[[#This Row],[Date]])</f>
        <v>2017</v>
      </c>
      <c r="C202" s="6">
        <f t="shared" si="27"/>
        <v>0.32</v>
      </c>
      <c r="D202" s="7">
        <f t="shared" si="21"/>
        <v>0</v>
      </c>
      <c r="E202" s="7">
        <f t="shared" si="22"/>
        <v>0</v>
      </c>
      <c r="F202" s="7">
        <f t="shared" si="20"/>
        <v>0</v>
      </c>
      <c r="G202" s="19">
        <v>4.0300000000000002E-2</v>
      </c>
      <c r="H202" s="15">
        <f>AVERAGE(0.065, 0.075)</f>
        <v>7.0000000000000007E-2</v>
      </c>
      <c r="I202" s="7">
        <f t="shared" si="23"/>
        <v>0.13</v>
      </c>
      <c r="J202" s="7">
        <f t="shared" si="24"/>
        <v>0</v>
      </c>
      <c r="K202" s="7">
        <v>0.09</v>
      </c>
      <c r="L202" s="7">
        <v>0</v>
      </c>
      <c r="M202" s="7">
        <v>0.08</v>
      </c>
      <c r="N20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4.0042857142857144E-2</v>
      </c>
      <c r="O20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2.7105103560887519E-2</v>
      </c>
      <c r="P202" s="14">
        <f>IF(data[[#This Row],[Weighted_Avg]]&lt;&gt;"", IFERROR(AVERAGE(O190,O178,O166), ""), "")</f>
        <v>0.13148998469600978</v>
      </c>
      <c r="Q202" s="33" t="b">
        <f>IF(data[[#This Row],[Date]]&gt;MAX(data[Date])-750, TRUE, FALSE)</f>
        <v>0</v>
      </c>
      <c r="R202" s="3">
        <f t="shared" si="25"/>
        <v>0.36499999999999999</v>
      </c>
      <c r="S202" s="34">
        <v>0.09</v>
      </c>
      <c r="T202">
        <v>2.7850000000000001</v>
      </c>
      <c r="V202" s="47">
        <v>13.814</v>
      </c>
      <c r="W202">
        <v>0.51</v>
      </c>
      <c r="X202" s="47">
        <v>12.573</v>
      </c>
      <c r="Y202" s="47">
        <v>12.721</v>
      </c>
      <c r="Z202">
        <v>0.32500000000000001</v>
      </c>
      <c r="AA202" s="47">
        <f t="shared" si="26"/>
        <v>0.14799999999999969</v>
      </c>
      <c r="AB202">
        <f t="shared" si="28"/>
        <v>5.0000000000000044E-3</v>
      </c>
    </row>
    <row r="203" spans="1:28">
      <c r="A203" s="4">
        <v>43023</v>
      </c>
      <c r="B203">
        <f>YEAR(data[[#This Row],[Date]])</f>
        <v>2017</v>
      </c>
      <c r="C203" s="6">
        <f t="shared" si="27"/>
        <v>0.34</v>
      </c>
      <c r="D203" s="7">
        <f t="shared" si="21"/>
        <v>0.03</v>
      </c>
      <c r="E203" s="7">
        <f t="shared" si="22"/>
        <v>0</v>
      </c>
      <c r="F203" s="7">
        <f t="shared" si="20"/>
        <v>0</v>
      </c>
      <c r="G203" s="19">
        <v>5.7500000000000002E-2</v>
      </c>
      <c r="H203" s="15">
        <f>AVERAGE(0.09,0.115)</f>
        <v>0.10250000000000001</v>
      </c>
      <c r="I203" s="7">
        <f t="shared" si="23"/>
        <v>0.15</v>
      </c>
      <c r="J203" s="7">
        <f t="shared" si="24"/>
        <v>0</v>
      </c>
      <c r="K203" s="7">
        <v>0.12</v>
      </c>
      <c r="L203" s="7">
        <v>0</v>
      </c>
      <c r="M203" s="7">
        <v>0.1</v>
      </c>
      <c r="N20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5.4285714285714284E-2</v>
      </c>
      <c r="O20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3.5585341768828715E-2</v>
      </c>
      <c r="P203" s="14">
        <f>IF(data[[#This Row],[Weighted_Avg]]&lt;&gt;"", IFERROR(AVERAGE(O191,O179,O167), ""), "")</f>
        <v>0.12267519242988084</v>
      </c>
      <c r="Q203" s="14" t="b">
        <f>IF(data[[#This Row],[Date]]&gt;MAX(data[Date])-750, TRUE, FALSE)</f>
        <v>0</v>
      </c>
      <c r="R203" s="3">
        <f t="shared" si="25"/>
        <v>0.36499999999999999</v>
      </c>
      <c r="S203" s="3">
        <v>9.5000000000000001E-2</v>
      </c>
      <c r="T203">
        <v>2.794</v>
      </c>
      <c r="V203" s="47">
        <v>13.864000000000001</v>
      </c>
      <c r="W203">
        <v>0.51</v>
      </c>
      <c r="X203" s="47">
        <v>12.722</v>
      </c>
      <c r="Y203" s="47">
        <v>12.87</v>
      </c>
      <c r="Z203">
        <v>0.33</v>
      </c>
      <c r="AA203" s="47">
        <f t="shared" si="26"/>
        <v>0.14799999999999969</v>
      </c>
      <c r="AB203">
        <f t="shared" si="28"/>
        <v>5.0000000000000044E-3</v>
      </c>
    </row>
    <row r="204" spans="1:28">
      <c r="A204" s="4">
        <v>43054</v>
      </c>
      <c r="B204">
        <f>YEAR(data[[#This Row],[Date]])</f>
        <v>2017</v>
      </c>
      <c r="C204" s="6">
        <f t="shared" si="27"/>
        <v>0.39</v>
      </c>
      <c r="D204" s="7">
        <f t="shared" si="21"/>
        <v>0.08</v>
      </c>
      <c r="E204" s="7">
        <f t="shared" si="22"/>
        <v>0</v>
      </c>
      <c r="F204" s="7">
        <f t="shared" si="20"/>
        <v>0</v>
      </c>
      <c r="G204" s="19">
        <v>9.7799999999999998E-2</v>
      </c>
      <c r="H204" s="15">
        <f>AVERAGE(0.115,0.115)</f>
        <v>0.115</v>
      </c>
      <c r="I204" s="7">
        <f t="shared" si="23"/>
        <v>0.2</v>
      </c>
      <c r="J204" s="7">
        <f t="shared" si="24"/>
        <v>0</v>
      </c>
      <c r="K204" s="7">
        <v>0.17</v>
      </c>
      <c r="L204" s="7">
        <v>0</v>
      </c>
      <c r="M204" s="7">
        <v>0.14000000000000001</v>
      </c>
      <c r="N20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7.4685714285714286E-2</v>
      </c>
      <c r="O20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4.8241814572908298E-2</v>
      </c>
      <c r="P204" s="14">
        <f>IF(data[[#This Row],[Weighted_Avg]]&lt;&gt;"", IFERROR(AVERAGE(O192,O180,O168), ""), "")</f>
        <v>0.11825267890861281</v>
      </c>
      <c r="Q204" s="14" t="b">
        <f>IF(data[[#This Row],[Date]]&gt;MAX(data[Date])-750, TRUE, FALSE)</f>
        <v>0</v>
      </c>
      <c r="R204" s="3">
        <f t="shared" si="25"/>
        <v>0.375</v>
      </c>
      <c r="S204" s="3">
        <v>9.5000000000000001E-2</v>
      </c>
      <c r="T204">
        <v>2.9089999999999998</v>
      </c>
      <c r="V204" s="47">
        <v>14.074999999999999</v>
      </c>
      <c r="W204">
        <v>0.53</v>
      </c>
      <c r="X204" s="47">
        <v>12.871</v>
      </c>
      <c r="Y204" s="47">
        <v>13.019</v>
      </c>
      <c r="Z204">
        <v>0.33500000000000002</v>
      </c>
      <c r="AA204" s="47">
        <f t="shared" si="26"/>
        <v>0.14799999999999969</v>
      </c>
      <c r="AB204">
        <f t="shared" si="28"/>
        <v>5.0000000000000044E-3</v>
      </c>
    </row>
    <row r="205" spans="1:28">
      <c r="A205" s="4">
        <v>43084</v>
      </c>
      <c r="B205">
        <f>YEAR(data[[#This Row],[Date]])</f>
        <v>2017</v>
      </c>
      <c r="C205" s="6">
        <f t="shared" si="27"/>
        <v>0.39</v>
      </c>
      <c r="D205" s="7">
        <f t="shared" si="21"/>
        <v>0.08</v>
      </c>
      <c r="E205" s="7">
        <f t="shared" si="22"/>
        <v>0</v>
      </c>
      <c r="F205" s="7">
        <f t="shared" si="20"/>
        <v>0</v>
      </c>
      <c r="G205" s="19">
        <v>9.7799999999999998E-2</v>
      </c>
      <c r="H205" s="15">
        <f>AVERAGE(0.13, 0.14)</f>
        <v>0.13500000000000001</v>
      </c>
      <c r="I205" s="7">
        <f t="shared" si="23"/>
        <v>0.2</v>
      </c>
      <c r="J205" s="7">
        <f t="shared" si="24"/>
        <v>0</v>
      </c>
      <c r="K205" s="7">
        <v>0.17</v>
      </c>
      <c r="L205" s="7">
        <v>0</v>
      </c>
      <c r="M205" s="7">
        <v>0.14000000000000001</v>
      </c>
      <c r="N20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7.7542857142857149E-2</v>
      </c>
      <c r="O20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4.9893319358149231E-2</v>
      </c>
      <c r="P205" s="14">
        <f>IF(data[[#This Row],[Weighted_Avg]]&lt;&gt;"", IFERROR(AVERAGE(O193,O181,O169), ""), "")</f>
        <v>0.11361967928428081</v>
      </c>
      <c r="Q205" s="14" t="b">
        <f>IF(data[[#This Row],[Date]]&gt;MAX(data[Date])-750, TRUE, FALSE)</f>
        <v>0</v>
      </c>
      <c r="R205" s="3">
        <f t="shared" si="25"/>
        <v>0.38</v>
      </c>
      <c r="S205" s="3">
        <v>0.1</v>
      </c>
      <c r="T205">
        <v>2.9089999999999998</v>
      </c>
      <c r="V205" s="47">
        <v>14.253</v>
      </c>
      <c r="W205">
        <v>0.51</v>
      </c>
      <c r="X205" s="47">
        <v>13.02</v>
      </c>
      <c r="Y205" s="47">
        <v>13.167999999999999</v>
      </c>
      <c r="Z205">
        <v>0.34</v>
      </c>
      <c r="AA205" s="47">
        <f t="shared" si="26"/>
        <v>0.14799999999999969</v>
      </c>
      <c r="AB205">
        <f t="shared" si="28"/>
        <v>5.0000000000000044E-3</v>
      </c>
    </row>
    <row r="206" spans="1:28">
      <c r="A206" s="4">
        <v>43115</v>
      </c>
      <c r="B206">
        <f>YEAR(data[[#This Row],[Date]])</f>
        <v>2018</v>
      </c>
      <c r="C206" s="6">
        <f t="shared" si="27"/>
        <v>0.42</v>
      </c>
      <c r="D206" s="7">
        <f t="shared" si="21"/>
        <v>0.11</v>
      </c>
      <c r="E206" s="7">
        <f t="shared" si="22"/>
        <v>0</v>
      </c>
      <c r="F206" s="7">
        <f t="shared" si="20"/>
        <v>0</v>
      </c>
      <c r="G206" s="19">
        <v>0.1208</v>
      </c>
      <c r="H206" s="15">
        <f>AVERAGE(0.14, 0.14)</f>
        <v>0.14000000000000001</v>
      </c>
      <c r="I206" s="7">
        <f t="shared" si="23"/>
        <v>0.23</v>
      </c>
      <c r="J206" s="7">
        <f t="shared" si="24"/>
        <v>0</v>
      </c>
      <c r="K206" s="7">
        <v>0.2</v>
      </c>
      <c r="L206" s="7">
        <v>0</v>
      </c>
      <c r="M206" s="7">
        <v>0.17</v>
      </c>
      <c r="N20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9.0114285714285716E-2</v>
      </c>
      <c r="O20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5.4781555193368706E-2</v>
      </c>
      <c r="P206" s="14">
        <f>IF(data[[#This Row],[Weighted_Avg]]&lt;&gt;"", IFERROR(AVERAGE(O194,O182,O170), ""), "")</f>
        <v>9.5587840868905385E-2</v>
      </c>
      <c r="Q206" s="14" t="b">
        <f>IF(data[[#This Row],[Date]]&gt;MAX(data[Date])-750, TRUE, FALSE)</f>
        <v>0</v>
      </c>
      <c r="R206" s="3">
        <f t="shared" si="25"/>
        <v>0.38</v>
      </c>
      <c r="S206" s="3">
        <v>0.09</v>
      </c>
      <c r="T206">
        <v>3.0179999999999998</v>
      </c>
      <c r="V206" s="47">
        <v>14.359</v>
      </c>
      <c r="W206">
        <v>0.5</v>
      </c>
      <c r="X206" s="47">
        <v>13.169</v>
      </c>
      <c r="Y206" s="47">
        <v>13.317</v>
      </c>
      <c r="Z206">
        <v>0.34499999999999997</v>
      </c>
      <c r="AA206" s="47">
        <f t="shared" si="26"/>
        <v>0.14799999999999969</v>
      </c>
      <c r="AB206">
        <f t="shared" si="28"/>
        <v>4.9999999999999489E-3</v>
      </c>
    </row>
    <row r="207" spans="1:28">
      <c r="A207" s="4">
        <v>43146</v>
      </c>
      <c r="B207">
        <f>YEAR(data[[#This Row],[Date]])</f>
        <v>2018</v>
      </c>
      <c r="C207" s="6">
        <f t="shared" si="27"/>
        <v>0.42</v>
      </c>
      <c r="D207" s="7">
        <f t="shared" si="21"/>
        <v>0.11</v>
      </c>
      <c r="E207" s="7">
        <f t="shared" si="22"/>
        <v>0</v>
      </c>
      <c r="F207" s="7">
        <f t="shared" si="20"/>
        <v>0</v>
      </c>
      <c r="G207" s="19">
        <v>0.1208</v>
      </c>
      <c r="H207" s="15">
        <f>AVERAGE(0.155,0.165)</f>
        <v>0.16</v>
      </c>
      <c r="I207" s="7">
        <f t="shared" si="23"/>
        <v>0.23</v>
      </c>
      <c r="J207" s="7">
        <f t="shared" si="24"/>
        <v>0</v>
      </c>
      <c r="K207" s="7">
        <v>0.2</v>
      </c>
      <c r="L207" s="7">
        <v>0</v>
      </c>
      <c r="M207" s="7">
        <v>0.17</v>
      </c>
      <c r="N20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9.297142857142858E-2</v>
      </c>
      <c r="O20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5.6294531524752028E-2</v>
      </c>
      <c r="P207" s="14">
        <f>IF(data[[#This Row],[Weighted_Avg]]&lt;&gt;"", IFERROR(AVERAGE(O195,O183,O171), ""), "")</f>
        <v>5.1161090163255006E-2</v>
      </c>
      <c r="Q207" s="14" t="b">
        <f>IF(data[[#This Row],[Date]]&gt;MAX(data[Date])-750, TRUE, FALSE)</f>
        <v>0</v>
      </c>
      <c r="R207" s="3">
        <f t="shared" si="25"/>
        <v>0.37</v>
      </c>
      <c r="S207" s="3">
        <v>0.09</v>
      </c>
      <c r="T207">
        <v>3.0459999999999998</v>
      </c>
      <c r="V207" s="47">
        <v>13.981999999999999</v>
      </c>
      <c r="W207">
        <v>0.57999999999999996</v>
      </c>
      <c r="X207" s="47">
        <v>13.318</v>
      </c>
      <c r="Y207" s="47">
        <v>13.465999999999999</v>
      </c>
      <c r="Z207">
        <v>0.35</v>
      </c>
      <c r="AA207" s="47">
        <f t="shared" si="26"/>
        <v>0.14799999999999969</v>
      </c>
      <c r="AB207">
        <f t="shared" si="28"/>
        <v>5.0000000000000044E-3</v>
      </c>
    </row>
    <row r="208" spans="1:28">
      <c r="A208" s="4">
        <v>43174</v>
      </c>
      <c r="B208">
        <f>YEAR(data[[#This Row],[Date]])</f>
        <v>2018</v>
      </c>
      <c r="C208" s="6">
        <f t="shared" si="27"/>
        <v>0.45</v>
      </c>
      <c r="D208" s="7">
        <f t="shared" si="21"/>
        <v>0.13</v>
      </c>
      <c r="E208" s="7">
        <f t="shared" si="22"/>
        <v>0</v>
      </c>
      <c r="F208" s="7">
        <f t="shared" si="20"/>
        <v>0</v>
      </c>
      <c r="G208" s="19">
        <v>0.13800000000000001</v>
      </c>
      <c r="H208" s="15">
        <f>AVERAGE(0.175,0.17)</f>
        <v>0.17249999999999999</v>
      </c>
      <c r="I208" s="7">
        <f t="shared" si="23"/>
        <v>0.26</v>
      </c>
      <c r="J208" s="7">
        <f t="shared" si="24"/>
        <v>0</v>
      </c>
      <c r="K208" s="7">
        <v>0.22</v>
      </c>
      <c r="L208" s="7">
        <v>0</v>
      </c>
      <c r="M208" s="7">
        <v>0.19</v>
      </c>
      <c r="N20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0.10292857142857141</v>
      </c>
      <c r="O20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6.2485533744512052E-2</v>
      </c>
      <c r="P208" s="14">
        <f>IF(data[[#This Row],[Weighted_Avg]]&lt;&gt;"", IFERROR(AVERAGE(O196,O184,O172), ""), "")</f>
        <v>3.6155560206014827E-2</v>
      </c>
      <c r="Q208" s="14" t="b">
        <f>IF(data[[#This Row],[Date]]&gt;MAX(data[Date])-750, TRUE, FALSE)</f>
        <v>0</v>
      </c>
      <c r="R208" s="3">
        <f t="shared" si="25"/>
        <v>0.38500000000000001</v>
      </c>
      <c r="S208" s="3">
        <v>0.105</v>
      </c>
      <c r="T208">
        <v>2.988</v>
      </c>
      <c r="V208" s="47">
        <v>14.387</v>
      </c>
      <c r="W208">
        <v>0.61</v>
      </c>
      <c r="X208" s="47">
        <v>13.467000000000001</v>
      </c>
      <c r="Y208" s="47">
        <v>13.615</v>
      </c>
      <c r="Z208">
        <v>0.35499999999999998</v>
      </c>
      <c r="AA208" s="47">
        <f t="shared" si="26"/>
        <v>0.14799999999999969</v>
      </c>
      <c r="AB208">
        <f t="shared" si="28"/>
        <v>5.0000000000000044E-3</v>
      </c>
    </row>
    <row r="209" spans="1:28">
      <c r="A209" s="4">
        <v>43205</v>
      </c>
      <c r="B209">
        <f>YEAR(data[[#This Row],[Date]])</f>
        <v>2018</v>
      </c>
      <c r="C209" s="6">
        <f t="shared" si="27"/>
        <v>0.45</v>
      </c>
      <c r="D209" s="7">
        <f t="shared" si="21"/>
        <v>0.14000000000000001</v>
      </c>
      <c r="E209" s="7">
        <f t="shared" si="22"/>
        <v>0</v>
      </c>
      <c r="F209" s="7">
        <f t="shared" si="20"/>
        <v>0</v>
      </c>
      <c r="G209" s="19">
        <v>0.14380000000000001</v>
      </c>
      <c r="H209" s="15">
        <f>AVERAGE(0.16,0.155)</f>
        <v>0.1575</v>
      </c>
      <c r="I209" s="7">
        <f t="shared" si="23"/>
        <v>0.27</v>
      </c>
      <c r="J209" s="7">
        <f t="shared" si="24"/>
        <v>0</v>
      </c>
      <c r="K209" s="7">
        <v>0.23</v>
      </c>
      <c r="L209" s="7">
        <v>0</v>
      </c>
      <c r="M209" s="7">
        <v>0.19</v>
      </c>
      <c r="N20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0.10304285714285714</v>
      </c>
      <c r="O20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6.182905503265354E-2</v>
      </c>
      <c r="P209" s="14">
        <f>IF(data[[#This Row],[Weighted_Avg]]&lt;&gt;"", IFERROR(AVERAGE(O197,O185,O173), ""), "")</f>
        <v>3.3792795384374817E-2</v>
      </c>
      <c r="Q209" s="14" t="b">
        <f>IF(data[[#This Row],[Date]]&gt;MAX(data[Date])-750, TRUE, FALSE)</f>
        <v>0</v>
      </c>
      <c r="R209" s="3">
        <f t="shared" si="25"/>
        <v>0.4</v>
      </c>
      <c r="S209" s="3">
        <v>0.11</v>
      </c>
      <c r="T209">
        <v>3.0960000000000001</v>
      </c>
      <c r="V209" s="47">
        <v>14.877000000000001</v>
      </c>
      <c r="W209">
        <v>0.65</v>
      </c>
      <c r="X209" s="47">
        <v>13.616</v>
      </c>
      <c r="Y209" s="47">
        <v>13.763999999999999</v>
      </c>
      <c r="Z209">
        <v>0.36</v>
      </c>
      <c r="AA209" s="47">
        <f t="shared" si="26"/>
        <v>0.14799999999999969</v>
      </c>
      <c r="AB209">
        <f t="shared" si="28"/>
        <v>5.0000000000000044E-3</v>
      </c>
    </row>
    <row r="210" spans="1:28">
      <c r="A210" s="4">
        <v>43235</v>
      </c>
      <c r="B210">
        <f>YEAR(data[[#This Row],[Date]])</f>
        <v>2018</v>
      </c>
      <c r="C210" s="6">
        <f t="shared" si="27"/>
        <v>0.44</v>
      </c>
      <c r="D210" s="7">
        <f t="shared" si="21"/>
        <v>0.13</v>
      </c>
      <c r="E210" s="7">
        <f t="shared" si="22"/>
        <v>0</v>
      </c>
      <c r="F210" s="7">
        <f t="shared" si="20"/>
        <v>0</v>
      </c>
      <c r="G210" s="19">
        <v>0.1323</v>
      </c>
      <c r="H210" s="15">
        <f>AVERAGE(0.17,0.185)</f>
        <v>0.17749999999999999</v>
      </c>
      <c r="I210" s="7">
        <f t="shared" si="23"/>
        <v>0.25</v>
      </c>
      <c r="J210" s="7">
        <f t="shared" si="24"/>
        <v>0</v>
      </c>
      <c r="K210" s="7">
        <v>0.22</v>
      </c>
      <c r="L210" s="7">
        <v>0</v>
      </c>
      <c r="M210" s="7">
        <v>0.18</v>
      </c>
      <c r="N21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0.1014</v>
      </c>
      <c r="O21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6.0595348714089614E-2</v>
      </c>
      <c r="P210" s="14">
        <f>IF(data[[#This Row],[Weighted_Avg]]&lt;&gt;"", IFERROR(AVERAGE(O198,O186,O174), ""), "")</f>
        <v>3.2947390562407509E-2</v>
      </c>
      <c r="Q210" s="14" t="b">
        <f>IF(data[[#This Row],[Date]]&gt;MAX(data[Date])-750, TRUE, FALSE)</f>
        <v>0</v>
      </c>
      <c r="R210" s="3">
        <f t="shared" si="25"/>
        <v>0.40500000000000003</v>
      </c>
      <c r="S210" s="3">
        <v>0.11</v>
      </c>
      <c r="T210">
        <v>3.2440000000000002</v>
      </c>
      <c r="V210" s="47">
        <v>15.058999999999999</v>
      </c>
      <c r="W210">
        <v>0.65</v>
      </c>
      <c r="X210" s="47">
        <v>13.765000000000001</v>
      </c>
      <c r="Y210" s="47">
        <v>13.913</v>
      </c>
      <c r="Z210">
        <v>0.36499999999999999</v>
      </c>
      <c r="AA210" s="47">
        <f t="shared" si="26"/>
        <v>0.14799999999999969</v>
      </c>
      <c r="AB210">
        <f t="shared" si="28"/>
        <v>5.0000000000000044E-3</v>
      </c>
    </row>
    <row r="211" spans="1:28">
      <c r="A211" s="4">
        <v>43266</v>
      </c>
      <c r="B211">
        <f>YEAR(data[[#This Row],[Date]])</f>
        <v>2018</v>
      </c>
      <c r="C211" s="6">
        <f t="shared" si="27"/>
        <v>0.47</v>
      </c>
      <c r="D211" s="7">
        <f t="shared" si="21"/>
        <v>0.15</v>
      </c>
      <c r="E211" s="7">
        <f t="shared" si="22"/>
        <v>0</v>
      </c>
      <c r="F211" s="7">
        <f t="shared" ref="F211:F274" si="29">IF(T209&gt;3.25, ROUNDDOWN((T209-3.25)/0.05, 0)+1, 0)/100</f>
        <v>0</v>
      </c>
      <c r="G211" s="19">
        <v>0.15529999999999999</v>
      </c>
      <c r="H211" s="15">
        <f>AVERAGE(0.195,0.21)</f>
        <v>0.20250000000000001</v>
      </c>
      <c r="I211" s="7">
        <f t="shared" si="23"/>
        <v>0.28000000000000003</v>
      </c>
      <c r="J211" s="7">
        <f t="shared" si="24"/>
        <v>0</v>
      </c>
      <c r="K211" s="7">
        <v>0.24</v>
      </c>
      <c r="L211" s="7">
        <v>0</v>
      </c>
      <c r="M211" s="7">
        <v>0.2</v>
      </c>
      <c r="N21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0.11397142857142858</v>
      </c>
      <c r="O21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6.7979934428213262E-2</v>
      </c>
      <c r="P211" s="14">
        <f>IF(data[[#This Row],[Weighted_Avg]]&lt;&gt;"", IFERROR(AVERAGE(O199,O187,O175), ""), "")</f>
        <v>3.2400934252609002E-2</v>
      </c>
      <c r="Q211" s="14" t="b">
        <f>IF(data[[#This Row],[Date]]&gt;MAX(data[Date])-750, TRUE, FALSE)</f>
        <v>0</v>
      </c>
      <c r="R211" s="3">
        <f t="shared" si="25"/>
        <v>0.41</v>
      </c>
      <c r="S211" s="3">
        <v>0.115</v>
      </c>
      <c r="T211">
        <v>3.2530000000000001</v>
      </c>
      <c r="V211" s="47">
        <v>15.113</v>
      </c>
      <c r="W211">
        <v>0.67</v>
      </c>
      <c r="X211" s="47">
        <v>13.914</v>
      </c>
      <c r="Y211" s="47">
        <v>14.061999999999999</v>
      </c>
      <c r="Z211">
        <v>0.37</v>
      </c>
      <c r="AA211" s="47">
        <f t="shared" si="26"/>
        <v>0.14799999999999969</v>
      </c>
      <c r="AB211">
        <f t="shared" si="28"/>
        <v>5.0000000000000044E-3</v>
      </c>
    </row>
    <row r="212" spans="1:28">
      <c r="A212" s="4">
        <v>43296</v>
      </c>
      <c r="B212">
        <f>YEAR(data[[#This Row],[Date]])</f>
        <v>2018</v>
      </c>
      <c r="C212" s="6">
        <f t="shared" si="27"/>
        <v>0.5</v>
      </c>
      <c r="D212" s="7">
        <f t="shared" si="21"/>
        <v>0.19</v>
      </c>
      <c r="E212" s="7">
        <f t="shared" si="22"/>
        <v>0</v>
      </c>
      <c r="F212" s="7">
        <f t="shared" si="29"/>
        <v>0</v>
      </c>
      <c r="G212" s="19">
        <v>0.184</v>
      </c>
      <c r="H212" s="15">
        <f>AVERAGE(0.21,0.22)</f>
        <v>0.215</v>
      </c>
      <c r="I212" s="7">
        <f t="shared" si="23"/>
        <v>0.32</v>
      </c>
      <c r="J212" s="7">
        <f t="shared" si="24"/>
        <v>0</v>
      </c>
      <c r="K212" s="7">
        <v>0.28000000000000003</v>
      </c>
      <c r="L212" s="7">
        <v>0</v>
      </c>
      <c r="M212" s="7">
        <v>0.23</v>
      </c>
      <c r="N21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0.12985714285714287</v>
      </c>
      <c r="O21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7.7147899547350463E-2</v>
      </c>
      <c r="P212" s="14">
        <f>IF(data[[#This Row],[Weighted_Avg]]&lt;&gt;"", IFERROR(AVERAGE(O200,O188,O176), ""), "")</f>
        <v>3.9264082500347144E-2</v>
      </c>
      <c r="Q212" s="33" t="b">
        <f>IF(data[[#This Row],[Date]]&gt;MAX(data[Date])-750, TRUE, FALSE)</f>
        <v>0</v>
      </c>
      <c r="R212" s="3">
        <f t="shared" si="25"/>
        <v>0.41</v>
      </c>
      <c r="S212" s="34">
        <v>0.115</v>
      </c>
      <c r="T212">
        <v>3.2330000000000001</v>
      </c>
      <c r="V212" s="47">
        <v>15.246</v>
      </c>
      <c r="W212">
        <v>0.63</v>
      </c>
      <c r="X212" s="47">
        <v>14.063000000000001</v>
      </c>
      <c r="Y212" s="47">
        <v>14.211</v>
      </c>
      <c r="Z212">
        <v>0.375</v>
      </c>
      <c r="AA212" s="47">
        <f t="shared" si="26"/>
        <v>0.14799999999999969</v>
      </c>
      <c r="AB212">
        <f t="shared" si="28"/>
        <v>5.0000000000000044E-3</v>
      </c>
    </row>
    <row r="213" spans="1:28">
      <c r="A213" s="4">
        <v>43327</v>
      </c>
      <c r="B213">
        <f>YEAR(data[[#This Row],[Date]])</f>
        <v>2018</v>
      </c>
      <c r="C213" s="6">
        <f t="shared" si="27"/>
        <v>0.51</v>
      </c>
      <c r="D213" s="7">
        <f t="shared" si="21"/>
        <v>0.19</v>
      </c>
      <c r="E213" s="7">
        <f t="shared" si="22"/>
        <v>0.01</v>
      </c>
      <c r="F213" s="7">
        <f t="shared" si="29"/>
        <v>0.01</v>
      </c>
      <c r="G213" s="19">
        <v>0.184</v>
      </c>
      <c r="H213" s="15">
        <f>AVERAGE(0.21,0.205)</f>
        <v>0.20749999999999999</v>
      </c>
      <c r="I213" s="7">
        <f t="shared" si="23"/>
        <v>0.32</v>
      </c>
      <c r="J213" s="7">
        <f t="shared" si="24"/>
        <v>0</v>
      </c>
      <c r="K213" s="7">
        <v>0.28000000000000003</v>
      </c>
      <c r="L213" s="7">
        <v>0</v>
      </c>
      <c r="M213" s="7">
        <v>0.24</v>
      </c>
      <c r="N21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0.1302142857142857</v>
      </c>
      <c r="O21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7.860526465060523E-2</v>
      </c>
      <c r="P213" s="14">
        <f>IF(data[[#This Row],[Weighted_Avg]]&lt;&gt;"", IFERROR(AVERAGE(O201,O189,O177), ""), "")</f>
        <v>3.9788055837508045E-2</v>
      </c>
      <c r="Q213" s="14" t="b">
        <f>IF(data[[#This Row],[Date]]&gt;MAX(data[Date])-750, TRUE, FALSE)</f>
        <v>0</v>
      </c>
      <c r="R213" s="3">
        <f t="shared" si="25"/>
        <v>0.41999999999999987</v>
      </c>
      <c r="S213" s="3">
        <v>0.12</v>
      </c>
      <c r="T213">
        <v>3.218</v>
      </c>
      <c r="V213" s="47">
        <v>15.458</v>
      </c>
      <c r="W213">
        <v>0.62</v>
      </c>
      <c r="X213" s="47">
        <v>14.212</v>
      </c>
      <c r="Y213" s="47">
        <v>14.36</v>
      </c>
      <c r="Z213">
        <v>0.38</v>
      </c>
      <c r="AA213" s="47">
        <f t="shared" si="26"/>
        <v>0.14799999999999969</v>
      </c>
      <c r="AB213">
        <f t="shared" si="28"/>
        <v>5.0000000000000044E-3</v>
      </c>
    </row>
    <row r="214" spans="1:28">
      <c r="A214" s="4">
        <v>43358</v>
      </c>
      <c r="B214">
        <f>YEAR(data[[#This Row],[Date]])</f>
        <v>2018</v>
      </c>
      <c r="C214" s="6">
        <f t="shared" si="27"/>
        <v>0.5</v>
      </c>
      <c r="D214" s="7">
        <f t="shared" si="21"/>
        <v>0.19</v>
      </c>
      <c r="E214" s="7">
        <f t="shared" si="22"/>
        <v>0</v>
      </c>
      <c r="F214" s="7">
        <f t="shared" si="29"/>
        <v>0</v>
      </c>
      <c r="G214" s="19">
        <v>0.184</v>
      </c>
      <c r="H214" s="15">
        <f>AVERAGE(0.205, 0.205)</f>
        <v>0.20499999999999999</v>
      </c>
      <c r="I214" s="7">
        <f t="shared" si="23"/>
        <v>0.31</v>
      </c>
      <c r="J214" s="7">
        <f t="shared" si="24"/>
        <v>0</v>
      </c>
      <c r="K214" s="7">
        <v>0.28000000000000003</v>
      </c>
      <c r="L214" s="7">
        <v>0</v>
      </c>
      <c r="M214" s="7">
        <v>0.23</v>
      </c>
      <c r="N21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0.12842857142857142</v>
      </c>
      <c r="O21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7.6391411381658808E-2</v>
      </c>
      <c r="P214" s="14">
        <f>IF(data[[#This Row],[Weighted_Avg]]&lt;&gt;"", IFERROR(AVERAGE(O202,O190,O178), ""), "")</f>
        <v>3.4038803726572968E-2</v>
      </c>
      <c r="Q214" s="14" t="b">
        <f>IF(data[[#This Row],[Date]]&gt;MAX(data[Date])-750, TRUE, FALSE)</f>
        <v>0</v>
      </c>
      <c r="R214" s="3">
        <f t="shared" si="25"/>
        <v>0.42999999999999977</v>
      </c>
      <c r="S214" s="3">
        <v>0.13500000000000001</v>
      </c>
      <c r="T214">
        <v>3.262</v>
      </c>
      <c r="V214" s="47">
        <v>15.808999999999999</v>
      </c>
      <c r="W214">
        <v>0.68</v>
      </c>
      <c r="X214" s="47">
        <v>14.361000000000001</v>
      </c>
      <c r="Y214" s="47">
        <v>14.509</v>
      </c>
      <c r="Z214">
        <v>0.38500000000000001</v>
      </c>
      <c r="AA214" s="47">
        <f t="shared" si="26"/>
        <v>0.14799999999999969</v>
      </c>
      <c r="AB214">
        <f t="shared" si="28"/>
        <v>5.0000000000000044E-3</v>
      </c>
    </row>
    <row r="215" spans="1:28">
      <c r="A215" s="4">
        <v>43388</v>
      </c>
      <c r="B215">
        <f>YEAR(data[[#This Row],[Date]])</f>
        <v>2018</v>
      </c>
      <c r="C215" s="6">
        <f t="shared" si="27"/>
        <v>0.5</v>
      </c>
      <c r="D215" s="7">
        <f t="shared" si="21"/>
        <v>0.18</v>
      </c>
      <c r="E215" s="7">
        <f t="shared" si="22"/>
        <v>0</v>
      </c>
      <c r="F215" s="7">
        <f t="shared" si="29"/>
        <v>0</v>
      </c>
      <c r="G215" s="19">
        <v>0.17829999999999999</v>
      </c>
      <c r="H215" s="15">
        <f>AVERAGE(0.21,0.215)</f>
        <v>0.21249999999999999</v>
      </c>
      <c r="I215" s="7">
        <f t="shared" si="23"/>
        <v>0.31</v>
      </c>
      <c r="J215" s="7">
        <f t="shared" si="24"/>
        <v>0</v>
      </c>
      <c r="K215" s="7">
        <v>0.27</v>
      </c>
      <c r="L215" s="7">
        <v>0</v>
      </c>
      <c r="M215" s="7">
        <v>0.24</v>
      </c>
      <c r="N21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0.12868571428571429</v>
      </c>
      <c r="O21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7.8509530598276367E-2</v>
      </c>
      <c r="P215" s="14">
        <f>IF(data[[#This Row],[Weighted_Avg]]&lt;&gt;"", IFERROR(AVERAGE(O203,O191,O179), ""), "")</f>
        <v>3.0781009817128155E-2</v>
      </c>
      <c r="Q215" s="14" t="b">
        <f>IF(data[[#This Row],[Date]]&gt;MAX(data[Date])-750, TRUE, FALSE)</f>
        <v>0</v>
      </c>
      <c r="R215" s="3">
        <f t="shared" si="25"/>
        <v>0.44499999999999962</v>
      </c>
      <c r="S215" s="3">
        <v>0.14000000000000001</v>
      </c>
      <c r="T215">
        <v>3.3650000000000002</v>
      </c>
      <c r="V215" s="47">
        <v>16.25</v>
      </c>
      <c r="W215">
        <v>0.71</v>
      </c>
      <c r="X215" s="47">
        <v>14.51</v>
      </c>
      <c r="Y215" s="47">
        <v>14.657999999999999</v>
      </c>
      <c r="Z215">
        <v>0.39</v>
      </c>
      <c r="AA215" s="47">
        <f t="shared" si="26"/>
        <v>0.14799999999999969</v>
      </c>
      <c r="AB215">
        <f t="shared" si="28"/>
        <v>5.0000000000000044E-3</v>
      </c>
    </row>
    <row r="216" spans="1:28">
      <c r="A216" s="4">
        <v>43419</v>
      </c>
      <c r="B216">
        <f>YEAR(data[[#This Row],[Date]])</f>
        <v>2018</v>
      </c>
      <c r="C216" s="6">
        <f t="shared" si="27"/>
        <v>0.51</v>
      </c>
      <c r="D216" s="7">
        <f t="shared" si="21"/>
        <v>0.2</v>
      </c>
      <c r="E216" s="7">
        <f t="shared" si="22"/>
        <v>0.01</v>
      </c>
      <c r="F216" s="7">
        <f t="shared" si="29"/>
        <v>0.01</v>
      </c>
      <c r="G216" s="19">
        <v>0.1898</v>
      </c>
      <c r="H216" s="15">
        <f>AVERAGE(0.23,0.24)</f>
        <v>0.23499999999999999</v>
      </c>
      <c r="I216" s="7">
        <f t="shared" si="23"/>
        <v>0.32</v>
      </c>
      <c r="J216" s="7">
        <f t="shared" si="24"/>
        <v>0</v>
      </c>
      <c r="K216" s="7">
        <v>0.28999999999999998</v>
      </c>
      <c r="L216" s="7">
        <v>0</v>
      </c>
      <c r="M216" s="7">
        <v>0.24</v>
      </c>
      <c r="N21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0.13639999999999999</v>
      </c>
      <c r="O21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8.1163860642936278E-2</v>
      </c>
      <c r="P216" s="14">
        <f>IF(data[[#This Row],[Weighted_Avg]]&lt;&gt;"", IFERROR(AVERAGE(O204,O192,O180), ""), "")</f>
        <v>3.4239455344461163E-2</v>
      </c>
      <c r="Q216" s="14" t="b">
        <f>IF(data[[#This Row],[Date]]&gt;MAX(data[Date])-750, TRUE, FALSE)</f>
        <v>0</v>
      </c>
      <c r="R216" s="3">
        <f t="shared" si="25"/>
        <v>0.45499999999999952</v>
      </c>
      <c r="S216" s="3">
        <v>0.14499999999999999</v>
      </c>
      <c r="T216">
        <v>3.3</v>
      </c>
      <c r="V216" s="47">
        <v>16.495999999999999</v>
      </c>
      <c r="W216">
        <v>0.72</v>
      </c>
      <c r="X216" s="47">
        <v>14.659000000000001</v>
      </c>
      <c r="Y216" s="47">
        <v>14.807</v>
      </c>
      <c r="Z216">
        <v>0.39500000000000002</v>
      </c>
      <c r="AA216" s="47">
        <f t="shared" si="26"/>
        <v>0.14799999999999969</v>
      </c>
      <c r="AB216">
        <f t="shared" si="28"/>
        <v>5.0000000000000044E-3</v>
      </c>
    </row>
    <row r="217" spans="1:28">
      <c r="A217" s="4">
        <v>43449</v>
      </c>
      <c r="B217">
        <f>YEAR(data[[#This Row],[Date]])</f>
        <v>2018</v>
      </c>
      <c r="C217" s="6">
        <f t="shared" si="27"/>
        <v>0.53</v>
      </c>
      <c r="D217" s="7">
        <f t="shared" si="21"/>
        <v>0.22</v>
      </c>
      <c r="E217" s="7">
        <f t="shared" si="22"/>
        <v>0.03</v>
      </c>
      <c r="F217" s="7">
        <f t="shared" si="29"/>
        <v>0.03</v>
      </c>
      <c r="G217" s="19">
        <v>0.20699999999999999</v>
      </c>
      <c r="H217" s="15">
        <f>AVERAGE(0.23, 0.22)</f>
        <v>0.22500000000000001</v>
      </c>
      <c r="I217" s="7">
        <f t="shared" si="23"/>
        <v>0.35</v>
      </c>
      <c r="J217" s="7">
        <f t="shared" si="24"/>
        <v>0</v>
      </c>
      <c r="K217" s="7">
        <v>0.31</v>
      </c>
      <c r="L217" s="7">
        <v>0</v>
      </c>
      <c r="M217" s="7">
        <v>0.26</v>
      </c>
      <c r="N21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0.14314285714285716</v>
      </c>
      <c r="O21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8.5652764489890065E-2</v>
      </c>
      <c r="P217" s="14">
        <f>IF(data[[#This Row],[Weighted_Avg]]&lt;&gt;"", IFERROR(AVERAGE(O205,O193,O181), ""), "")</f>
        <v>3.6714491288492669E-2</v>
      </c>
      <c r="Q217" s="14" t="b">
        <f>IF(data[[#This Row],[Date]]&gt;MAX(data[Date])-750, TRUE, FALSE)</f>
        <v>0</v>
      </c>
      <c r="R217" s="3">
        <f t="shared" si="25"/>
        <v>0.46499999999999941</v>
      </c>
      <c r="S217" s="3">
        <v>0.15</v>
      </c>
      <c r="T217">
        <v>3.1230000000000002</v>
      </c>
      <c r="V217" s="47">
        <v>16.794</v>
      </c>
      <c r="W217">
        <v>0.74</v>
      </c>
      <c r="X217" s="47">
        <v>14.808</v>
      </c>
      <c r="Y217" s="47">
        <v>14.956</v>
      </c>
      <c r="Z217">
        <v>0.4</v>
      </c>
      <c r="AA217" s="47">
        <f t="shared" si="26"/>
        <v>0.14799999999999969</v>
      </c>
      <c r="AB217">
        <f t="shared" si="28"/>
        <v>5.0000000000000044E-3</v>
      </c>
    </row>
    <row r="218" spans="1:28">
      <c r="A218" s="4">
        <v>43480</v>
      </c>
      <c r="B218">
        <f>YEAR(data[[#This Row],[Date]])</f>
        <v>2019</v>
      </c>
      <c r="C218" s="6">
        <f t="shared" si="27"/>
        <v>0.52</v>
      </c>
      <c r="D218" s="7">
        <f t="shared" si="21"/>
        <v>0.21</v>
      </c>
      <c r="E218" s="7">
        <f t="shared" si="22"/>
        <v>0.02</v>
      </c>
      <c r="F218" s="7">
        <f t="shared" si="29"/>
        <v>0.01</v>
      </c>
      <c r="G218" s="19">
        <v>0.19550000000000001</v>
      </c>
      <c r="H218" s="15">
        <f>AVERAGE(0.195,0.18)</f>
        <v>0.1875</v>
      </c>
      <c r="I218" s="7">
        <f t="shared" si="23"/>
        <v>0.33</v>
      </c>
      <c r="J218" s="7">
        <f t="shared" si="24"/>
        <v>0</v>
      </c>
      <c r="K218" s="7">
        <v>0.3</v>
      </c>
      <c r="L218" s="7">
        <v>0</v>
      </c>
      <c r="M218" s="7">
        <v>0.25</v>
      </c>
      <c r="N21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0.13328571428571429</v>
      </c>
      <c r="O21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8.4064640368242322E-2</v>
      </c>
      <c r="P218" s="14">
        <f>IF(data[[#This Row],[Weighted_Avg]]&lt;&gt;"", IFERROR(AVERAGE(O206,O194,O182), ""), "")</f>
        <v>3.4259920846763742E-2</v>
      </c>
      <c r="Q218" s="14" t="b">
        <f>IF(data[[#This Row],[Date]]&gt;MAX(data[Date])-750, TRUE, FALSE)</f>
        <v>0</v>
      </c>
      <c r="R218" s="3">
        <f t="shared" si="25"/>
        <v>0.46999999999999936</v>
      </c>
      <c r="S218" s="3">
        <v>0.14000000000000001</v>
      </c>
      <c r="T218">
        <v>2.98</v>
      </c>
      <c r="V218" s="47">
        <v>16.904</v>
      </c>
      <c r="W218">
        <v>0.7</v>
      </c>
      <c r="X218" s="47">
        <v>14.957000000000001</v>
      </c>
      <c r="Y218" s="47">
        <v>15.105</v>
      </c>
      <c r="Z218">
        <v>0.40500000000000003</v>
      </c>
      <c r="AA218" s="47">
        <f t="shared" si="26"/>
        <v>0.14799999999999969</v>
      </c>
      <c r="AB218">
        <f t="shared" si="28"/>
        <v>5.0000000000000044E-3</v>
      </c>
    </row>
    <row r="219" spans="1:28">
      <c r="A219" s="4">
        <v>43511</v>
      </c>
      <c r="B219">
        <f>YEAR(data[[#This Row],[Date]])</f>
        <v>2019</v>
      </c>
      <c r="C219" s="6">
        <f t="shared" si="27"/>
        <v>0.47</v>
      </c>
      <c r="D219" s="7">
        <f t="shared" si="21"/>
        <v>0.16</v>
      </c>
      <c r="E219" s="7">
        <f t="shared" si="22"/>
        <v>0</v>
      </c>
      <c r="F219" s="7">
        <f t="shared" si="29"/>
        <v>0</v>
      </c>
      <c r="G219" s="15">
        <v>0.161</v>
      </c>
      <c r="H219" s="15">
        <f>AVERAGE(0.165,0.155)</f>
        <v>0.16</v>
      </c>
      <c r="I219" s="7">
        <f t="shared" si="23"/>
        <v>0.28999999999999998</v>
      </c>
      <c r="J219" s="7">
        <f t="shared" si="24"/>
        <v>0</v>
      </c>
      <c r="K219">
        <v>0.25</v>
      </c>
      <c r="L219" s="7">
        <v>0</v>
      </c>
      <c r="M219">
        <v>0.21</v>
      </c>
      <c r="N21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0.11157142857142856</v>
      </c>
      <c r="O21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7.0574740476075523E-2</v>
      </c>
      <c r="P219" s="14">
        <f>IF(data[[#This Row],[Weighted_Avg]]&lt;&gt;"", IFERROR(AVERAGE(O207,O195,O183), ""), "")</f>
        <v>3.2569162504328668E-2</v>
      </c>
      <c r="Q219" s="14" t="b">
        <f>IF(data[[#This Row],[Date]]&gt;MAX(data[Date])-750, TRUE, FALSE)</f>
        <v>0</v>
      </c>
      <c r="R219" s="3">
        <f t="shared" si="25"/>
        <v>0.45499999999999952</v>
      </c>
      <c r="S219" s="3">
        <v>0.14000000000000001</v>
      </c>
      <c r="T219">
        <v>2.9969999999999999</v>
      </c>
      <c r="V219" s="47">
        <v>16.574000000000002</v>
      </c>
      <c r="W219">
        <v>0.68</v>
      </c>
      <c r="X219" s="47">
        <v>15.106</v>
      </c>
      <c r="Y219" s="47">
        <v>15.254</v>
      </c>
      <c r="Z219">
        <v>0.41</v>
      </c>
      <c r="AA219" s="47">
        <f t="shared" si="26"/>
        <v>0.14799999999999969</v>
      </c>
      <c r="AB219">
        <f t="shared" si="28"/>
        <v>4.9999999999999489E-3</v>
      </c>
    </row>
    <row r="220" spans="1:28">
      <c r="A220" s="4">
        <v>43539</v>
      </c>
      <c r="B220">
        <f>YEAR(data[[#This Row],[Date]])</f>
        <v>2019</v>
      </c>
      <c r="C220" s="6">
        <f t="shared" si="27"/>
        <v>0.44</v>
      </c>
      <c r="D220" s="7">
        <f t="shared" si="21"/>
        <v>0.13</v>
      </c>
      <c r="E220" s="7">
        <f t="shared" si="22"/>
        <v>0</v>
      </c>
      <c r="F220" s="7">
        <f t="shared" si="29"/>
        <v>0</v>
      </c>
      <c r="G220" s="19">
        <v>0.1323</v>
      </c>
      <c r="H220" s="15">
        <f>AVERAGE(0.15,0.155)</f>
        <v>0.1525</v>
      </c>
      <c r="I220" s="7">
        <f t="shared" si="23"/>
        <v>0.25</v>
      </c>
      <c r="J220" s="7">
        <f t="shared" si="24"/>
        <v>0</v>
      </c>
      <c r="K220" s="7">
        <v>0.22</v>
      </c>
      <c r="L220" s="7">
        <v>0</v>
      </c>
      <c r="M220" s="7">
        <v>0.18</v>
      </c>
      <c r="N22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9.7828571428571445E-2</v>
      </c>
      <c r="O22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6.1471798078315876E-2</v>
      </c>
      <c r="P220" s="14">
        <f>IF(data[[#This Row],[Weighted_Avg]]&lt;&gt;"", IFERROR(AVERAGE(O208,O196,O184), ""), "")</f>
        <v>3.1726914046389713E-2</v>
      </c>
      <c r="Q220" s="14" t="b">
        <f>IF(data[[#This Row],[Date]]&gt;MAX(data[Date])-750, TRUE, FALSE)</f>
        <v>0</v>
      </c>
      <c r="R220" s="3">
        <f t="shared" si="25"/>
        <v>0.45999999999999946</v>
      </c>
      <c r="S220" s="3">
        <v>0.16500000000000001</v>
      </c>
      <c r="T220">
        <v>3.0760000000000001</v>
      </c>
      <c r="V220" s="47">
        <v>16.654</v>
      </c>
      <c r="W220">
        <v>0.72</v>
      </c>
      <c r="X220" s="47">
        <f>Y219+0.001</f>
        <v>15.254999999999999</v>
      </c>
      <c r="Y220" s="47">
        <f>X220+AA219</f>
        <v>15.402999999999999</v>
      </c>
      <c r="Z220">
        <f>Z219+AB219</f>
        <v>0.41499999999999992</v>
      </c>
      <c r="AA220" s="47">
        <f t="shared" ref="AA220" si="30">Y220-X220</f>
        <v>0.14799999999999969</v>
      </c>
      <c r="AB220">
        <f t="shared" ref="AB220" si="31">Z220-Z219</f>
        <v>4.9999999999999489E-3</v>
      </c>
    </row>
    <row r="221" spans="1:28">
      <c r="A221" s="4">
        <v>43570</v>
      </c>
      <c r="B221">
        <f>YEAR(data[[#This Row],[Date]])</f>
        <v>2019</v>
      </c>
      <c r="C221" s="6">
        <f t="shared" si="27"/>
        <v>0.44</v>
      </c>
      <c r="D221" s="7">
        <f t="shared" si="21"/>
        <v>0.13</v>
      </c>
      <c r="E221" s="7">
        <f t="shared" si="22"/>
        <v>0</v>
      </c>
      <c r="F221" s="7">
        <f t="shared" si="29"/>
        <v>0</v>
      </c>
      <c r="G221" s="19">
        <v>0.13800000000000001</v>
      </c>
      <c r="H221" s="15">
        <f>AVERAGE(0.175,0.175)</f>
        <v>0.17499999999999999</v>
      </c>
      <c r="I221" s="7">
        <f t="shared" si="23"/>
        <v>0.25</v>
      </c>
      <c r="J221" s="7">
        <f t="shared" si="24"/>
        <v>0</v>
      </c>
      <c r="K221" s="7">
        <v>0.22</v>
      </c>
      <c r="L221" s="7">
        <v>0</v>
      </c>
      <c r="M221" s="7">
        <v>0.18</v>
      </c>
      <c r="N22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0.10185714285714287</v>
      </c>
      <c r="O22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6.3335514943749699E-2</v>
      </c>
      <c r="P221" s="14">
        <f>IF(data[[#This Row],[Weighted_Avg]]&lt;&gt;"", IFERROR(AVERAGE(O209,O197,O185), ""), "")</f>
        <v>3.1354871030661917E-2</v>
      </c>
      <c r="Q221" s="14" t="b">
        <f>IF(data[[#This Row],[Date]]&gt;MAX(data[Date])-750, TRUE, FALSE)</f>
        <v>0</v>
      </c>
      <c r="R221" s="3">
        <f t="shared" si="25"/>
        <v>0.48499999999999921</v>
      </c>
      <c r="S221" s="3">
        <v>0.155</v>
      </c>
      <c r="T221">
        <v>3.121</v>
      </c>
      <c r="V221" s="47">
        <v>17.47</v>
      </c>
      <c r="W221">
        <v>0.76</v>
      </c>
      <c r="X221" s="47">
        <f>Y220+0.001</f>
        <v>15.403999999999998</v>
      </c>
      <c r="Y221" s="47">
        <f>X221+AA220</f>
        <v>15.551999999999998</v>
      </c>
      <c r="Z221">
        <f>Z220+AB220</f>
        <v>0.41999999999999987</v>
      </c>
      <c r="AA221" s="47">
        <f t="shared" ref="AA221:AA222" si="32">Y221-X221</f>
        <v>0.14799999999999969</v>
      </c>
      <c r="AB221">
        <f t="shared" ref="AB221:AB222" si="33">Z221-Z220</f>
        <v>4.9999999999999489E-3</v>
      </c>
    </row>
    <row r="222" spans="1:28">
      <c r="A222" s="4">
        <v>43600</v>
      </c>
      <c r="B222">
        <f>YEAR(data[[#This Row],[Date]])</f>
        <v>2019</v>
      </c>
      <c r="C222" s="6">
        <f t="shared" si="27"/>
        <v>0.46</v>
      </c>
      <c r="D222" s="7">
        <f t="shared" si="21"/>
        <v>0.15</v>
      </c>
      <c r="E222" s="7">
        <f t="shared" si="22"/>
        <v>0</v>
      </c>
      <c r="F222" s="7">
        <f t="shared" si="29"/>
        <v>0</v>
      </c>
      <c r="G222" s="19">
        <v>0.14949999999999999</v>
      </c>
      <c r="H222" s="15">
        <f>AVERAGE(0.175,0.185)</f>
        <v>0.18</v>
      </c>
      <c r="I222" s="7">
        <f t="shared" si="23"/>
        <v>0.27</v>
      </c>
      <c r="J222" s="7">
        <f t="shared" si="24"/>
        <v>0</v>
      </c>
      <c r="K222" s="7">
        <v>0.24</v>
      </c>
      <c r="L222" s="7">
        <v>0</v>
      </c>
      <c r="M222" s="7">
        <v>0.2</v>
      </c>
      <c r="N22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0.10992857142857144</v>
      </c>
      <c r="O22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6.9034491735470688E-2</v>
      </c>
      <c r="P222" s="14">
        <f>IF(data[[#This Row],[Weighted_Avg]]&lt;&gt;"", IFERROR(AVERAGE(O210,O198,O186), ""), "")</f>
        <v>3.1012448290525647E-2</v>
      </c>
      <c r="Q222" s="14" t="b">
        <f>IF(data[[#This Row],[Date]]&gt;MAX(data[Date])-750, TRUE, FALSE)</f>
        <v>0</v>
      </c>
      <c r="R222" s="3">
        <f t="shared" si="25"/>
        <v>0.46499999999999941</v>
      </c>
      <c r="S222" s="3">
        <v>0.15</v>
      </c>
      <c r="T222">
        <v>3.161</v>
      </c>
      <c r="V222" s="47">
        <v>16.802</v>
      </c>
      <c r="W222">
        <v>0.73</v>
      </c>
      <c r="X222" s="47">
        <f>Y221+0.001</f>
        <v>15.552999999999997</v>
      </c>
      <c r="Y222" s="47">
        <f>X222+AA221</f>
        <v>15.700999999999997</v>
      </c>
      <c r="Z222">
        <f>Z221+AB221</f>
        <v>0.42499999999999982</v>
      </c>
      <c r="AA222" s="47">
        <f t="shared" si="32"/>
        <v>0.14799999999999969</v>
      </c>
      <c r="AB222">
        <f t="shared" si="33"/>
        <v>4.9999999999999489E-3</v>
      </c>
    </row>
    <row r="223" spans="1:28">
      <c r="A223" s="4">
        <v>43631</v>
      </c>
      <c r="B223">
        <f>YEAR(data[[#This Row],[Date]])</f>
        <v>2019</v>
      </c>
      <c r="C223" s="6">
        <f t="shared" si="27"/>
        <v>0.47</v>
      </c>
      <c r="D223" s="7">
        <f t="shared" si="21"/>
        <v>0.16</v>
      </c>
      <c r="E223" s="7">
        <f t="shared" si="22"/>
        <v>0</v>
      </c>
      <c r="F223" s="7">
        <f t="shared" si="29"/>
        <v>0</v>
      </c>
      <c r="G223" s="19">
        <v>0.161</v>
      </c>
      <c r="H223" s="15">
        <f>AVERAGE(0.19, 0.195)</f>
        <v>0.1925</v>
      </c>
      <c r="I223" s="7">
        <f t="shared" si="23"/>
        <v>0.28999999999999998</v>
      </c>
      <c r="J223" s="7">
        <f t="shared" si="24"/>
        <v>0</v>
      </c>
      <c r="K223" s="7">
        <v>0.25</v>
      </c>
      <c r="L223" s="7">
        <v>0</v>
      </c>
      <c r="M223" s="7">
        <v>0.21</v>
      </c>
      <c r="N22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0.11621428571428571</v>
      </c>
      <c r="O22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7.286806890058424E-2</v>
      </c>
      <c r="P223" s="14">
        <f>IF(data[[#This Row],[Weighted_Avg]]&lt;&gt;"", IFERROR(AVERAGE(O211,O199,O187), ""), "")</f>
        <v>3.4165728019214067E-2</v>
      </c>
      <c r="Q223" s="14" t="b">
        <f>IF(data[[#This Row],[Date]]&gt;MAX(data[Date])-750, TRUE, FALSE)</f>
        <v>0</v>
      </c>
      <c r="R223" s="3">
        <f t="shared" si="25"/>
        <v>0.46999999999999936</v>
      </c>
      <c r="S223" s="3">
        <v>0.22500000000000001</v>
      </c>
      <c r="T223">
        <v>3.089</v>
      </c>
      <c r="V223" s="47">
        <v>16.916</v>
      </c>
      <c r="W223">
        <v>0.97</v>
      </c>
      <c r="X223" s="47">
        <f t="shared" ref="X223:X226" si="34">Y222+0.001</f>
        <v>15.701999999999996</v>
      </c>
      <c r="Y223" s="47">
        <f t="shared" ref="Y223:Y226" si="35">X223+AA222</f>
        <v>15.849999999999996</v>
      </c>
      <c r="Z223">
        <f t="shared" ref="Z223:Z226" si="36">Z222+AB222</f>
        <v>0.42999999999999977</v>
      </c>
      <c r="AA223" s="47">
        <f t="shared" ref="AA223:AA227" si="37">Y223-X223</f>
        <v>0.14799999999999969</v>
      </c>
      <c r="AB223">
        <f t="shared" ref="AB223:AB227" si="38">Z223-Z222</f>
        <v>4.9999999999999489E-3</v>
      </c>
    </row>
    <row r="224" spans="1:28">
      <c r="A224" s="4">
        <v>43661</v>
      </c>
      <c r="B224">
        <f>YEAR(data[[#This Row],[Date]])</f>
        <v>2019</v>
      </c>
      <c r="C224" s="6">
        <f t="shared" si="27"/>
        <v>0.48</v>
      </c>
      <c r="D224" s="7">
        <f t="shared" si="21"/>
        <v>0.17</v>
      </c>
      <c r="E224" s="7">
        <f t="shared" si="22"/>
        <v>0</v>
      </c>
      <c r="F224" s="7">
        <f t="shared" si="29"/>
        <v>0</v>
      </c>
      <c r="G224" s="19">
        <v>0.1668</v>
      </c>
      <c r="H224" s="15">
        <f>AVERAGE(0.185, 0.17)</f>
        <v>0.17749999999999999</v>
      </c>
      <c r="I224" s="7">
        <f t="shared" si="23"/>
        <v>0.3</v>
      </c>
      <c r="J224" s="7">
        <f t="shared" si="24"/>
        <v>0</v>
      </c>
      <c r="K224" s="7">
        <v>0.26</v>
      </c>
      <c r="L224" s="7">
        <v>0</v>
      </c>
      <c r="M224" s="7">
        <v>0.22</v>
      </c>
      <c r="N22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0.11775714285714287</v>
      </c>
      <c r="O22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7.4485109442647232E-2</v>
      </c>
      <c r="P224" s="14">
        <f>IF(data[[#This Row],[Weighted_Avg]]&lt;&gt;"", IFERROR(AVERAGE(O212,O200,O188), ""), "")</f>
        <v>4.1957262954826435E-2</v>
      </c>
      <c r="Q224" s="33" t="b">
        <f>IF(data[[#This Row],[Date]]&gt;MAX(data[Date])-750, TRUE, FALSE)</f>
        <v>0</v>
      </c>
      <c r="R224" s="3">
        <f t="shared" si="25"/>
        <v>0.46499999999999941</v>
      </c>
      <c r="S224" s="3">
        <v>0.22500000000000001</v>
      </c>
      <c r="T224">
        <v>3.0449999999999999</v>
      </c>
      <c r="V224">
        <v>16.850999999999999</v>
      </c>
      <c r="W224">
        <v>0.96</v>
      </c>
      <c r="X224" s="47">
        <f t="shared" si="34"/>
        <v>15.850999999999996</v>
      </c>
      <c r="Y224" s="47">
        <f t="shared" si="35"/>
        <v>15.998999999999995</v>
      </c>
      <c r="Z224">
        <f t="shared" si="36"/>
        <v>0.43499999999999972</v>
      </c>
      <c r="AA224" s="47">
        <f t="shared" si="37"/>
        <v>0.14799999999999969</v>
      </c>
      <c r="AB224">
        <f t="shared" si="38"/>
        <v>4.9999999999999489E-3</v>
      </c>
    </row>
    <row r="225" spans="1:28">
      <c r="A225" s="4">
        <v>43692</v>
      </c>
      <c r="B225">
        <f>YEAR(data[[#This Row],[Date]])</f>
        <v>2019</v>
      </c>
      <c r="C225" s="6">
        <f t="shared" si="27"/>
        <v>0.46</v>
      </c>
      <c r="D225" s="7">
        <f t="shared" si="21"/>
        <v>0.15</v>
      </c>
      <c r="E225" s="7">
        <f t="shared" si="22"/>
        <v>0</v>
      </c>
      <c r="F225" s="7">
        <f t="shared" si="29"/>
        <v>0</v>
      </c>
      <c r="G225" s="19">
        <v>0.15529999999999999</v>
      </c>
      <c r="H225" s="15">
        <v>0.17</v>
      </c>
      <c r="I225" s="7">
        <f t="shared" si="23"/>
        <v>0.28000000000000003</v>
      </c>
      <c r="J225" s="7">
        <f t="shared" si="24"/>
        <v>0</v>
      </c>
      <c r="K225" s="7">
        <v>0.24</v>
      </c>
      <c r="L225" s="7">
        <v>0</v>
      </c>
      <c r="M225" s="7">
        <v>0.2</v>
      </c>
      <c r="N22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0.10932857142857144</v>
      </c>
      <c r="O22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6.8609722772117882E-2</v>
      </c>
      <c r="P225" s="14">
        <f>IF(data[[#This Row],[Weighted_Avg]]&lt;&gt;"", IFERROR(AVERAGE(O213,O201,O189), ""), "")</f>
        <v>4.3602306244066878E-2</v>
      </c>
      <c r="Q225" s="14" t="b">
        <f>IF(data[[#This Row],[Date]]&gt;MAX(data[Date])-750, TRUE, FALSE)</f>
        <v>0</v>
      </c>
      <c r="R225" s="3">
        <f t="shared" si="25"/>
        <v>0.45999999999999946</v>
      </c>
      <c r="S225" s="3">
        <v>0.22</v>
      </c>
      <c r="T225">
        <v>3.0049999999999999</v>
      </c>
      <c r="V225" s="47">
        <v>16.632000000000001</v>
      </c>
      <c r="W225">
        <v>0.94</v>
      </c>
      <c r="X225" s="47">
        <f t="shared" si="34"/>
        <v>15.999999999999995</v>
      </c>
      <c r="Y225" s="47">
        <f t="shared" si="35"/>
        <v>16.147999999999996</v>
      </c>
      <c r="Z225">
        <f t="shared" si="36"/>
        <v>0.43999999999999967</v>
      </c>
      <c r="AA225" s="47">
        <f t="shared" si="37"/>
        <v>0.14800000000000146</v>
      </c>
      <c r="AB225">
        <f t="shared" si="38"/>
        <v>4.9999999999999489E-3</v>
      </c>
    </row>
    <row r="226" spans="1:28">
      <c r="A226" s="4">
        <v>43723</v>
      </c>
      <c r="B226">
        <f>YEAR(data[[#This Row],[Date]])</f>
        <v>2019</v>
      </c>
      <c r="C226" s="6">
        <f t="shared" si="27"/>
        <v>0.45</v>
      </c>
      <c r="D226" s="7">
        <f t="shared" si="21"/>
        <v>0.14000000000000001</v>
      </c>
      <c r="E226" s="7">
        <f t="shared" si="22"/>
        <v>0</v>
      </c>
      <c r="F226" s="7">
        <f t="shared" si="29"/>
        <v>0</v>
      </c>
      <c r="G226" s="19">
        <v>0.14380000000000001</v>
      </c>
      <c r="H226" s="15">
        <f>AVERAGE(0.16,0.165)</f>
        <v>0.16250000000000001</v>
      </c>
      <c r="I226" s="7">
        <f t="shared" si="23"/>
        <v>0.27</v>
      </c>
      <c r="J226" s="7">
        <f t="shared" si="24"/>
        <v>0</v>
      </c>
      <c r="K226" s="7">
        <v>0.23</v>
      </c>
      <c r="L226" s="7">
        <v>0</v>
      </c>
      <c r="M226" s="7">
        <v>0.19</v>
      </c>
      <c r="N22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0.10375714285714285</v>
      </c>
      <c r="O22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6.5128965364621053E-2</v>
      </c>
      <c r="P226" s="14">
        <f>IF(data[[#This Row],[Weighted_Avg]]&lt;&gt;"", IFERROR(AVERAGE(O214,O202,O190), ""), "")</f>
        <v>4.1402662115369519E-2</v>
      </c>
      <c r="Q226" s="14" t="b">
        <f>IF(data[[#This Row],[Date]]&gt;MAX(data[Date])-750, TRUE, FALSE)</f>
        <v>0</v>
      </c>
      <c r="R226" s="3">
        <f t="shared" si="25"/>
        <v>0.46499999999999941</v>
      </c>
      <c r="S226" s="3">
        <v>0.22</v>
      </c>
      <c r="T226">
        <v>3.016</v>
      </c>
      <c r="V226" s="47">
        <v>16.852</v>
      </c>
      <c r="W226">
        <v>0.96</v>
      </c>
      <c r="X226" s="47">
        <f t="shared" si="34"/>
        <v>16.148999999999997</v>
      </c>
      <c r="Y226" s="47">
        <f t="shared" si="35"/>
        <v>16.296999999999997</v>
      </c>
      <c r="Z226">
        <f t="shared" si="36"/>
        <v>0.44499999999999962</v>
      </c>
      <c r="AA226" s="47">
        <f t="shared" si="37"/>
        <v>0.14799999999999969</v>
      </c>
      <c r="AB226">
        <f t="shared" si="38"/>
        <v>4.9999999999999489E-3</v>
      </c>
    </row>
    <row r="227" spans="1:28">
      <c r="A227" s="4">
        <v>43753</v>
      </c>
      <c r="B227">
        <f>YEAR(data[[#This Row],[Date]])</f>
        <v>2019</v>
      </c>
      <c r="C227" s="6">
        <f t="shared" si="27"/>
        <v>0.44</v>
      </c>
      <c r="D227" s="7">
        <f t="shared" si="21"/>
        <v>0.13</v>
      </c>
      <c r="E227" s="7">
        <f t="shared" si="22"/>
        <v>0</v>
      </c>
      <c r="F227" s="7">
        <f t="shared" si="29"/>
        <v>0</v>
      </c>
      <c r="G227" s="19">
        <v>0.13800000000000001</v>
      </c>
      <c r="H227" s="15">
        <f>AVERAGE(0.155,0.165)</f>
        <v>0.16</v>
      </c>
      <c r="I227" s="7">
        <f t="shared" si="23"/>
        <v>0.26</v>
      </c>
      <c r="J227" s="7">
        <f t="shared" si="24"/>
        <v>0</v>
      </c>
      <c r="K227" s="7">
        <v>0.22</v>
      </c>
      <c r="L227" s="7">
        <v>0</v>
      </c>
      <c r="M227" s="7">
        <v>0.19</v>
      </c>
      <c r="N22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0.10114285714285713</v>
      </c>
      <c r="O22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6.437150628490497E-2</v>
      </c>
      <c r="P227" s="14">
        <f>IF(data[[#This Row],[Weighted_Avg]]&lt;&gt;"", IFERROR(AVERAGE(O215,O203,O191), ""), "")</f>
        <v>4.4487980792863979E-2</v>
      </c>
      <c r="Q227" s="14" t="b">
        <f>IF(data[[#This Row],[Date]]&gt;MAX(data[Date])-750, TRUE, FALSE)</f>
        <v>0</v>
      </c>
      <c r="R227" s="3">
        <f t="shared" si="25"/>
        <v>0.46999999999999936</v>
      </c>
      <c r="S227" s="3">
        <v>0.22500000000000001</v>
      </c>
      <c r="T227">
        <v>3.0529999999999999</v>
      </c>
      <c r="V227" s="47">
        <v>16.902999999999999</v>
      </c>
      <c r="W227">
        <v>0.94</v>
      </c>
      <c r="X227" s="47">
        <f>Y226+0.001</f>
        <v>16.297999999999998</v>
      </c>
      <c r="Y227" s="47">
        <f>X227+AA226</f>
        <v>16.445999999999998</v>
      </c>
      <c r="Z227">
        <f>Z226+AB226</f>
        <v>0.44999999999999957</v>
      </c>
      <c r="AA227" s="47">
        <f t="shared" si="37"/>
        <v>0.14799999999999969</v>
      </c>
      <c r="AB227">
        <f t="shared" si="38"/>
        <v>4.9999999999999489E-3</v>
      </c>
    </row>
    <row r="228" spans="1:28">
      <c r="A228" s="4">
        <v>43784</v>
      </c>
      <c r="B228">
        <f>YEAR(data[[#This Row],[Date]])</f>
        <v>2019</v>
      </c>
      <c r="C228" s="6">
        <f t="shared" si="27"/>
        <v>0.45</v>
      </c>
      <c r="D228" s="7">
        <f t="shared" si="21"/>
        <v>0.13</v>
      </c>
      <c r="E228" s="7">
        <f t="shared" si="22"/>
        <v>0</v>
      </c>
      <c r="F228" s="7">
        <f t="shared" si="29"/>
        <v>0</v>
      </c>
      <c r="G228" s="19">
        <v>0.13800000000000001</v>
      </c>
      <c r="H228" s="15">
        <f>AVERAGE(0.17,0.17)</f>
        <v>0.17</v>
      </c>
      <c r="I228" s="7">
        <f t="shared" si="23"/>
        <v>0.26</v>
      </c>
      <c r="J228" s="7">
        <f t="shared" si="24"/>
        <v>0</v>
      </c>
      <c r="K228" s="7">
        <v>0.22</v>
      </c>
      <c r="L228" s="7">
        <v>0</v>
      </c>
      <c r="M228" s="7">
        <v>0.19</v>
      </c>
      <c r="N22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0.10257142857142856</v>
      </c>
      <c r="O22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6.5077145800138417E-2</v>
      </c>
      <c r="P228" s="14">
        <f>IF(data[[#This Row],[Weighted_Avg]]&lt;&gt;"", IFERROR(AVERAGE(O216,O204,O192), ""), "")</f>
        <v>5.050996859318977E-2</v>
      </c>
      <c r="Q228" s="14" t="b">
        <f>IF(data[[#This Row],[Date]]&gt;MAX(data[Date])-750, TRUE, FALSE)</f>
        <v>0</v>
      </c>
      <c r="R228" s="3">
        <f t="shared" ref="R228:R259" si="39">AVERAGEIFS(Z:Z,X:X,  "&lt;="&amp;V228,Y:Y, "&gt;="&amp;V228)</f>
        <v>0.47499999999999931</v>
      </c>
      <c r="S228" s="3">
        <v>0.22</v>
      </c>
      <c r="T228">
        <v>3.069</v>
      </c>
      <c r="V228" s="47">
        <v>17.045000000000002</v>
      </c>
      <c r="W228">
        <v>0.95</v>
      </c>
      <c r="X228" s="47">
        <f t="shared" ref="X228:X230" si="40">Y227+0.001</f>
        <v>16.446999999999999</v>
      </c>
      <c r="Y228" s="47">
        <f t="shared" ref="Y228:Y230" si="41">X228+AA227</f>
        <v>16.594999999999999</v>
      </c>
      <c r="Z228">
        <f t="shared" ref="Z228:Z230" si="42">Z227+AB227</f>
        <v>0.45499999999999952</v>
      </c>
      <c r="AA228" s="47">
        <f t="shared" ref="AA228:AA230" si="43">Y228-X228</f>
        <v>0.14799999999999969</v>
      </c>
      <c r="AB228">
        <f t="shared" ref="AB228:AB230" si="44">Z228-Z227</f>
        <v>4.9999999999999489E-3</v>
      </c>
    </row>
    <row r="229" spans="1:28">
      <c r="A229" s="4">
        <v>43814</v>
      </c>
      <c r="B229">
        <f>YEAR(data[[#This Row],[Date]])</f>
        <v>2019</v>
      </c>
      <c r="C229" s="6">
        <f t="shared" si="27"/>
        <v>0.46</v>
      </c>
      <c r="D229" s="7">
        <f t="shared" si="21"/>
        <v>0.14000000000000001</v>
      </c>
      <c r="E229" s="7">
        <f t="shared" si="22"/>
        <v>0</v>
      </c>
      <c r="F229" s="7">
        <f t="shared" si="29"/>
        <v>0</v>
      </c>
      <c r="G229" s="19">
        <v>0.14949999999999999</v>
      </c>
      <c r="H229" s="15">
        <f>AVERAGE(0.17,0.175)</f>
        <v>0.17249999999999999</v>
      </c>
      <c r="I229" s="7">
        <f t="shared" si="23"/>
        <v>0.27</v>
      </c>
      <c r="J229" s="7">
        <f t="shared" si="24"/>
        <v>0</v>
      </c>
      <c r="K229" s="7">
        <v>0.23</v>
      </c>
      <c r="L229" s="7">
        <v>0</v>
      </c>
      <c r="M229" s="7">
        <v>0.2</v>
      </c>
      <c r="N22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0.10742857142857143</v>
      </c>
      <c r="O22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6.8205083450018508E-2</v>
      </c>
      <c r="P229" s="14">
        <f>IF(data[[#This Row],[Weighted_Avg]]&lt;&gt;"", IFERROR(AVERAGE(O217,O205,O193), ""), "")</f>
        <v>5.4476829531648931E-2</v>
      </c>
      <c r="Q229" s="14" t="b">
        <f>IF(data[[#This Row],[Date]]&gt;MAX(data[Date])-750, TRUE, FALSE)</f>
        <v>0</v>
      </c>
      <c r="R229" s="3">
        <f t="shared" si="39"/>
        <v>0.46999999999999936</v>
      </c>
      <c r="S229" s="3">
        <v>0.22500000000000001</v>
      </c>
      <c r="T229">
        <v>3.0550000000000002</v>
      </c>
      <c r="V229" s="47">
        <v>16.927</v>
      </c>
      <c r="W229">
        <v>0.95</v>
      </c>
      <c r="X229" s="47">
        <f t="shared" si="40"/>
        <v>16.596</v>
      </c>
      <c r="Y229" s="47">
        <f t="shared" si="41"/>
        <v>16.744</v>
      </c>
      <c r="Z229">
        <f t="shared" si="42"/>
        <v>0.45999999999999946</v>
      </c>
      <c r="AA229" s="47">
        <f t="shared" si="43"/>
        <v>0.14799999999999969</v>
      </c>
      <c r="AB229">
        <f t="shared" si="44"/>
        <v>4.9999999999999489E-3</v>
      </c>
    </row>
    <row r="230" spans="1:28">
      <c r="A230" s="4">
        <v>43845</v>
      </c>
      <c r="B230">
        <f>YEAR(data[[#This Row],[Date]])</f>
        <v>2020</v>
      </c>
      <c r="C230" s="6">
        <f t="shared" si="27"/>
        <v>0.46</v>
      </c>
      <c r="D230" s="7">
        <f t="shared" si="21"/>
        <v>0.15</v>
      </c>
      <c r="E230" s="7">
        <f t="shared" si="22"/>
        <v>0</v>
      </c>
      <c r="F230" s="7">
        <f t="shared" si="29"/>
        <v>0</v>
      </c>
      <c r="G230" s="19">
        <v>0.14949999999999999</v>
      </c>
      <c r="H230" s="15">
        <f>0.17</f>
        <v>0.17</v>
      </c>
      <c r="I230" s="7">
        <f t="shared" si="23"/>
        <v>0.27</v>
      </c>
      <c r="J230" s="7">
        <f t="shared" si="24"/>
        <v>0</v>
      </c>
      <c r="K230" s="7">
        <v>0.24</v>
      </c>
      <c r="L230" s="7">
        <v>0</v>
      </c>
      <c r="M230" s="7">
        <v>0.2</v>
      </c>
      <c r="N23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0.10850000000000001</v>
      </c>
      <c r="O23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6.9875350005412368E-2</v>
      </c>
      <c r="P230" s="14">
        <f>IF(data[[#This Row],[Weighted_Avg]]&lt;&gt;"", IFERROR(AVERAGE(O218,O206,O194), ""), "")</f>
        <v>5.3864826154540996E-2</v>
      </c>
      <c r="Q230" s="14" t="b">
        <f>IF(data[[#This Row],[Date]]&gt;MAX(data[Date])-750, TRUE, FALSE)</f>
        <v>0</v>
      </c>
      <c r="R230" s="3">
        <f t="shared" si="39"/>
        <v>0.47499999999999931</v>
      </c>
      <c r="S230" s="3">
        <v>0.23499999999999999</v>
      </c>
      <c r="T230">
        <v>3.048</v>
      </c>
      <c r="V230" s="47">
        <v>17.055</v>
      </c>
      <c r="W230">
        <v>0.97</v>
      </c>
      <c r="X230" s="47">
        <f t="shared" si="40"/>
        <v>16.745000000000001</v>
      </c>
      <c r="Y230" s="47">
        <f t="shared" si="41"/>
        <v>16.893000000000001</v>
      </c>
      <c r="Z230">
        <f t="shared" si="42"/>
        <v>0.46499999999999941</v>
      </c>
      <c r="AA230" s="47">
        <f t="shared" si="43"/>
        <v>0.14799999999999969</v>
      </c>
      <c r="AB230">
        <f t="shared" si="44"/>
        <v>4.9999999999999489E-3</v>
      </c>
    </row>
    <row r="231" spans="1:28">
      <c r="A231" s="4">
        <v>43876</v>
      </c>
      <c r="B231">
        <f>YEAR(data[[#This Row],[Date]])</f>
        <v>2020</v>
      </c>
      <c r="C231" s="6">
        <f t="shared" si="27"/>
        <v>0.46</v>
      </c>
      <c r="D231" s="7">
        <f t="shared" si="21"/>
        <v>0.14000000000000001</v>
      </c>
      <c r="E231" s="7">
        <f t="shared" si="22"/>
        <v>0</v>
      </c>
      <c r="F231" s="7">
        <f t="shared" si="29"/>
        <v>0</v>
      </c>
      <c r="G231" s="19">
        <v>0.14949999999999999</v>
      </c>
      <c r="H231" s="15">
        <f>AVERAGE(0.175,0.17)</f>
        <v>0.17249999999999999</v>
      </c>
      <c r="I231" s="7">
        <f t="shared" si="23"/>
        <v>0.27</v>
      </c>
      <c r="J231" s="7">
        <f t="shared" si="24"/>
        <v>0</v>
      </c>
      <c r="K231" s="7">
        <v>0.23</v>
      </c>
      <c r="L231" s="7">
        <v>0</v>
      </c>
      <c r="M231" s="7">
        <v>0.2</v>
      </c>
      <c r="N23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0.10742857142857143</v>
      </c>
      <c r="O23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6.9800445630032459E-2</v>
      </c>
      <c r="P231" s="14">
        <f>IF(data[[#This Row],[Weighted_Avg]]&lt;&gt;"", IFERROR(AVERAGE(O219,O207,O195), ""), "")</f>
        <v>5.2282381413090051E-2</v>
      </c>
      <c r="Q231" s="14" t="b">
        <f>IF(data[[#This Row],[Date]]&gt;MAX(data[Date])-750, TRUE, FALSE)</f>
        <v>0</v>
      </c>
      <c r="R231" s="3">
        <f t="shared" si="39"/>
        <v>0.47999999999999926</v>
      </c>
      <c r="S231" s="3">
        <v>0.23499999999999999</v>
      </c>
      <c r="T231">
        <v>2.91</v>
      </c>
      <c r="V231" s="47">
        <v>17.256</v>
      </c>
      <c r="W231">
        <v>0.98</v>
      </c>
      <c r="X231" s="47">
        <f t="shared" ref="X231:X235" si="45">Y230+0.001</f>
        <v>16.894000000000002</v>
      </c>
      <c r="Y231" s="47">
        <f t="shared" ref="Y231:Y235" si="46">X231+AA230</f>
        <v>17.042000000000002</v>
      </c>
      <c r="Z231">
        <f t="shared" ref="Z231:Z235" si="47">Z230+AB230</f>
        <v>0.46999999999999936</v>
      </c>
      <c r="AA231" s="47">
        <f t="shared" ref="AA231:AA235" si="48">Y231-X231</f>
        <v>0.14799999999999969</v>
      </c>
      <c r="AB231">
        <f t="shared" ref="AB231:AB235" si="49">Z231-Z230</f>
        <v>4.9999999999999489E-3</v>
      </c>
    </row>
    <row r="232" spans="1:28">
      <c r="A232" s="4">
        <v>43905</v>
      </c>
      <c r="B232">
        <f>YEAR(data[[#This Row],[Date]])</f>
        <v>2020</v>
      </c>
      <c r="C232" s="6">
        <f t="shared" si="27"/>
        <v>0.45</v>
      </c>
      <c r="D232" s="7">
        <f t="shared" si="21"/>
        <v>0.14000000000000001</v>
      </c>
      <c r="E232" s="7">
        <f t="shared" si="22"/>
        <v>0</v>
      </c>
      <c r="F232" s="7">
        <f t="shared" si="29"/>
        <v>0</v>
      </c>
      <c r="G232" s="19">
        <v>0.14380000000000001</v>
      </c>
      <c r="H232" s="15">
        <f>AVERAGE(0.155,0.135)</f>
        <v>0.14500000000000002</v>
      </c>
      <c r="I232" s="7">
        <f t="shared" si="23"/>
        <v>0.27</v>
      </c>
      <c r="J232" s="7">
        <f t="shared" si="24"/>
        <v>0</v>
      </c>
      <c r="K232" s="7">
        <v>0.23</v>
      </c>
      <c r="L232" s="7">
        <v>0</v>
      </c>
      <c r="M232" s="7">
        <v>0.19</v>
      </c>
      <c r="N23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0.10125714285714287</v>
      </c>
      <c r="O23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6.5373678533228466E-2</v>
      </c>
      <c r="P232" s="14">
        <f>IF(data[[#This Row],[Weighted_Avg]]&lt;&gt;"", IFERROR(AVERAGE(O220,O208,O196), ""), "")</f>
        <v>5.2217513405828336E-2</v>
      </c>
      <c r="Q232" s="14" t="b">
        <f>IF(data[[#This Row],[Date]]&gt;MAX(data[Date])-750, TRUE, FALSE)</f>
        <v>0</v>
      </c>
      <c r="R232" s="3">
        <f t="shared" si="39"/>
        <v>0.48499999999999921</v>
      </c>
      <c r="S232" s="3">
        <v>0.215</v>
      </c>
      <c r="T232">
        <v>2.7290000000000001</v>
      </c>
      <c r="V232" s="47">
        <v>17.43</v>
      </c>
      <c r="W232">
        <v>1.01</v>
      </c>
      <c r="X232" s="47">
        <f t="shared" si="45"/>
        <v>17.043000000000003</v>
      </c>
      <c r="Y232" s="47">
        <f t="shared" si="46"/>
        <v>17.191000000000003</v>
      </c>
      <c r="Z232">
        <f t="shared" si="47"/>
        <v>0.47499999999999931</v>
      </c>
      <c r="AA232" s="47">
        <f t="shared" si="48"/>
        <v>0.14799999999999969</v>
      </c>
      <c r="AB232">
        <f t="shared" si="49"/>
        <v>4.9999999999999489E-3</v>
      </c>
    </row>
    <row r="233" spans="1:28">
      <c r="A233" s="4">
        <v>43936</v>
      </c>
      <c r="B233">
        <f>YEAR(data[[#This Row],[Date]])</f>
        <v>2020</v>
      </c>
      <c r="C233" s="6">
        <f t="shared" si="27"/>
        <v>0.42</v>
      </c>
      <c r="D233" s="7">
        <f t="shared" si="21"/>
        <v>0.11</v>
      </c>
      <c r="E233" s="7">
        <f t="shared" si="22"/>
        <v>0</v>
      </c>
      <c r="F233" s="7">
        <f t="shared" si="29"/>
        <v>0</v>
      </c>
      <c r="G233" s="19">
        <v>0.1208</v>
      </c>
      <c r="H233" s="15">
        <f>AVERAGE(0.125, 0.095)</f>
        <v>0.11</v>
      </c>
      <c r="I233" s="7">
        <f t="shared" si="23"/>
        <v>0.23</v>
      </c>
      <c r="J233" s="7">
        <f t="shared" si="24"/>
        <v>0</v>
      </c>
      <c r="K233" s="7">
        <v>0.2</v>
      </c>
      <c r="L233" s="7">
        <v>0</v>
      </c>
      <c r="M233" s="7">
        <v>0.17</v>
      </c>
      <c r="N23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8.5828571428571435E-2</v>
      </c>
      <c r="O23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5.6601171642881309E-2</v>
      </c>
      <c r="P233" s="14">
        <f>IF(data[[#This Row],[Weighted_Avg]]&lt;&gt;"", IFERROR(AVERAGE(O221,O209,O197), ""), "")</f>
        <v>5.2466709345245145E-2</v>
      </c>
      <c r="Q233" s="14" t="b">
        <f>IF(data[[#This Row],[Date]]&gt;MAX(data[Date])-750, TRUE, FALSE)</f>
        <v>0</v>
      </c>
      <c r="R233" s="3">
        <f t="shared" si="39"/>
        <v>0.45499999999999952</v>
      </c>
      <c r="S233" s="3">
        <v>0.185</v>
      </c>
      <c r="T233">
        <v>2.4929999999999999</v>
      </c>
      <c r="V233" s="47">
        <v>16.452000000000002</v>
      </c>
      <c r="W233">
        <v>0.95</v>
      </c>
      <c r="X233" s="47">
        <f t="shared" si="45"/>
        <v>17.192000000000004</v>
      </c>
      <c r="Y233" s="47">
        <f t="shared" si="46"/>
        <v>17.340000000000003</v>
      </c>
      <c r="Z233">
        <f t="shared" si="47"/>
        <v>0.47999999999999926</v>
      </c>
      <c r="AA233" s="47">
        <f t="shared" si="48"/>
        <v>0.14799999999999969</v>
      </c>
      <c r="AB233">
        <f t="shared" si="49"/>
        <v>4.9999999999999489E-3</v>
      </c>
    </row>
    <row r="234" spans="1:28">
      <c r="A234" s="4">
        <v>43966</v>
      </c>
      <c r="B234">
        <f>YEAR(data[[#This Row],[Date]])</f>
        <v>2020</v>
      </c>
      <c r="C234" s="6">
        <f t="shared" si="27"/>
        <v>0.37</v>
      </c>
      <c r="D234" s="7">
        <f t="shared" si="21"/>
        <v>0.06</v>
      </c>
      <c r="E234" s="7">
        <f t="shared" si="22"/>
        <v>0</v>
      </c>
      <c r="F234" s="7">
        <f t="shared" si="29"/>
        <v>0</v>
      </c>
      <c r="G234" s="19">
        <v>8.6300000000000002E-2</v>
      </c>
      <c r="H234" s="15">
        <f>AVERAGE(0.07,0.055)</f>
        <v>6.25E-2</v>
      </c>
      <c r="I234" s="7">
        <f t="shared" si="23"/>
        <v>0.19</v>
      </c>
      <c r="J234" s="7">
        <f t="shared" si="24"/>
        <v>0</v>
      </c>
      <c r="K234" s="7">
        <v>0.15</v>
      </c>
      <c r="L234" s="7">
        <v>0</v>
      </c>
      <c r="M234" s="7">
        <v>0.13</v>
      </c>
      <c r="N23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6.125714285714285E-2</v>
      </c>
      <c r="O23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4.1418848250370351E-2</v>
      </c>
      <c r="P234" s="14">
        <f>IF(data[[#This Row],[Weighted_Avg]]&lt;&gt;"", IFERROR(AVERAGE(O222,O210,O198), ""), "")</f>
        <v>5.4023945535682544E-2</v>
      </c>
      <c r="Q234" s="14" t="b">
        <f>IF(data[[#This Row],[Date]]&gt;MAX(data[Date])-750, TRUE, FALSE)</f>
        <v>0</v>
      </c>
      <c r="R234" s="3">
        <f t="shared" si="39"/>
        <v>0.41499999999999992</v>
      </c>
      <c r="S234" s="3">
        <v>0.14000000000000001</v>
      </c>
      <c r="T234">
        <v>2.3919999999999999</v>
      </c>
      <c r="V234" s="47">
        <v>15.403</v>
      </c>
      <c r="W234">
        <v>0.74</v>
      </c>
      <c r="X234" s="47">
        <f t="shared" si="45"/>
        <v>17.341000000000005</v>
      </c>
      <c r="Y234" s="47">
        <f t="shared" si="46"/>
        <v>17.489000000000004</v>
      </c>
      <c r="Z234">
        <f t="shared" si="47"/>
        <v>0.48499999999999921</v>
      </c>
      <c r="AA234" s="47">
        <f t="shared" si="48"/>
        <v>0.14799999999999969</v>
      </c>
      <c r="AB234">
        <f t="shared" si="49"/>
        <v>4.9999999999999489E-3</v>
      </c>
    </row>
    <row r="235" spans="1:28">
      <c r="A235" s="4">
        <v>43997</v>
      </c>
      <c r="B235">
        <f>YEAR(data[[#This Row],[Date]])</f>
        <v>2020</v>
      </c>
      <c r="C235" s="6">
        <f t="shared" si="27"/>
        <v>0.32</v>
      </c>
      <c r="D235" s="7">
        <f t="shared" si="21"/>
        <v>0</v>
      </c>
      <c r="E235" s="7">
        <f t="shared" si="22"/>
        <v>0</v>
      </c>
      <c r="F235" s="7">
        <f t="shared" si="29"/>
        <v>0</v>
      </c>
      <c r="G235" s="19">
        <v>4.0300000000000002E-2</v>
      </c>
      <c r="H235" s="15">
        <f>AVERAGE(0.035,0.03)</f>
        <v>3.2500000000000001E-2</v>
      </c>
      <c r="I235" s="7">
        <f t="shared" si="23"/>
        <v>0.13</v>
      </c>
      <c r="J235" s="7">
        <f t="shared" si="24"/>
        <v>0</v>
      </c>
      <c r="K235" s="7">
        <v>0.09</v>
      </c>
      <c r="L235" s="7">
        <v>0</v>
      </c>
      <c r="M235" s="7">
        <v>0.08</v>
      </c>
      <c r="N23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3.4685714285714285E-2</v>
      </c>
      <c r="O23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2.4399468983407911E-2</v>
      </c>
      <c r="P235" s="14">
        <f>IF(data[[#This Row],[Weighted_Avg]]&lt;&gt;"", IFERROR(AVERAGE(O223,O211,O199), ""), "")</f>
        <v>5.7847737241151526E-2</v>
      </c>
      <c r="Q235" s="14" t="b">
        <f>IF(data[[#This Row],[Date]]&gt;MAX(data[Date])-750, TRUE, FALSE)</f>
        <v>0</v>
      </c>
      <c r="R235" s="3">
        <f t="shared" si="39"/>
        <v>0.38</v>
      </c>
      <c r="S235" s="3">
        <v>0.125</v>
      </c>
      <c r="T235">
        <v>2.4079999999999999</v>
      </c>
      <c r="V235" s="47">
        <v>14.234</v>
      </c>
      <c r="W235">
        <v>0.61</v>
      </c>
      <c r="X235" s="47">
        <f t="shared" si="45"/>
        <v>17.490000000000006</v>
      </c>
      <c r="Y235" s="47">
        <f t="shared" si="46"/>
        <v>17.638000000000005</v>
      </c>
      <c r="Z235">
        <f t="shared" si="47"/>
        <v>0.48999999999999916</v>
      </c>
      <c r="AA235" s="47">
        <f t="shared" si="48"/>
        <v>0.14799999999999969</v>
      </c>
      <c r="AB235">
        <f t="shared" si="49"/>
        <v>4.9999999999999489E-3</v>
      </c>
    </row>
    <row r="236" spans="1:28">
      <c r="A236" s="4">
        <v>44027</v>
      </c>
      <c r="B236">
        <f>YEAR(data[[#This Row],[Date]])</f>
        <v>2020</v>
      </c>
      <c r="C236" s="6">
        <f t="shared" si="27"/>
        <v>0.28999999999999998</v>
      </c>
      <c r="D236" s="7">
        <f t="shared" si="21"/>
        <v>-0.02</v>
      </c>
      <c r="E236" s="7">
        <f t="shared" si="22"/>
        <v>0</v>
      </c>
      <c r="F236" s="7">
        <f t="shared" si="29"/>
        <v>0</v>
      </c>
      <c r="G236" s="19">
        <v>2.3E-2</v>
      </c>
      <c r="H236" s="41">
        <f>AVERAGE(0.03,0.035)</f>
        <v>3.2500000000000001E-2</v>
      </c>
      <c r="I236" s="7">
        <f t="shared" si="23"/>
        <v>0.1</v>
      </c>
      <c r="J236" s="7">
        <f t="shared" si="24"/>
        <v>0</v>
      </c>
      <c r="K236" s="11">
        <v>7.0000000000000007E-2</v>
      </c>
      <c r="L236" s="7">
        <v>0</v>
      </c>
      <c r="M236" s="11">
        <v>0.06</v>
      </c>
      <c r="N23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2.6499999999999999E-2</v>
      </c>
      <c r="O23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1.8575582244743011E-2</v>
      </c>
      <c r="P236" s="33">
        <f>IF(data[[#This Row],[Weighted_Avg]]&lt;&gt;"", IFERROR(AVERAGE(O224,O212,O200), ""), "")</f>
        <v>6.1151896951006562E-2</v>
      </c>
      <c r="Q236" s="33" t="b">
        <f>IF(data[[#This Row],[Date]]&gt;MAX(data[Date])-750, TRUE, FALSE)</f>
        <v>0</v>
      </c>
      <c r="R236" s="34">
        <f t="shared" si="39"/>
        <v>0.38</v>
      </c>
      <c r="S236" s="34">
        <v>0.16</v>
      </c>
      <c r="T236">
        <v>2.4340000000000002</v>
      </c>
      <c r="V236">
        <v>14.225</v>
      </c>
      <c r="W236">
        <v>0.63</v>
      </c>
      <c r="X236" s="47">
        <f t="shared" ref="X236:X240" si="50">Y235+0.001</f>
        <v>17.639000000000006</v>
      </c>
      <c r="Y236" s="47">
        <f t="shared" ref="Y236:Y240" si="51">X236+AA235</f>
        <v>17.787000000000006</v>
      </c>
      <c r="Z236">
        <f t="shared" ref="Z236:Z240" si="52">Z235+AB235</f>
        <v>0.49499999999999911</v>
      </c>
      <c r="AA236" s="47">
        <f t="shared" ref="AA236:AA240" si="53">Y236-X236</f>
        <v>0.14799999999999969</v>
      </c>
      <c r="AB236">
        <f t="shared" ref="AB236:AB240" si="54">Z236-Z235</f>
        <v>4.9999999999999489E-3</v>
      </c>
    </row>
    <row r="237" spans="1:28">
      <c r="A237" s="4">
        <v>44058</v>
      </c>
      <c r="B237">
        <f>YEAR(data[[#This Row],[Date]])</f>
        <v>2020</v>
      </c>
      <c r="C237" s="6">
        <f t="shared" si="27"/>
        <v>0.28999999999999998</v>
      </c>
      <c r="D237" s="7">
        <f t="shared" si="21"/>
        <v>-0.02</v>
      </c>
      <c r="E237" s="7">
        <f t="shared" si="22"/>
        <v>0</v>
      </c>
      <c r="F237" s="7">
        <f t="shared" si="29"/>
        <v>0</v>
      </c>
      <c r="G237" s="19">
        <v>2.3E-2</v>
      </c>
      <c r="H237" s="15">
        <v>0.04</v>
      </c>
      <c r="I237" s="7">
        <f t="shared" si="23"/>
        <v>0.11</v>
      </c>
      <c r="J237" s="7">
        <f t="shared" si="24"/>
        <v>0</v>
      </c>
      <c r="K237" s="11">
        <v>7.0000000000000007E-2</v>
      </c>
      <c r="L237" s="7">
        <v>0</v>
      </c>
      <c r="M237" s="11">
        <v>7.0000000000000007E-2</v>
      </c>
      <c r="N23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2.9000000000000001E-2</v>
      </c>
      <c r="O23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2.1341200301880851E-2</v>
      </c>
      <c r="P237" s="33">
        <f>IF(data[[#This Row],[Weighted_Avg]]&lt;&gt;"", IFERROR(AVERAGE(O225,O213,O201), ""), "")</f>
        <v>5.8513784958641596E-2</v>
      </c>
      <c r="Q237" s="14" t="b">
        <f>IF(data[[#This Row],[Date]]&gt;MAX(data[Date])-750, TRUE, FALSE)</f>
        <v>0</v>
      </c>
      <c r="R237" s="34">
        <f t="shared" si="39"/>
        <v>0.41</v>
      </c>
      <c r="S237" s="3">
        <v>0.185</v>
      </c>
      <c r="T237">
        <v>2.4289999999999998</v>
      </c>
      <c r="V237" s="47">
        <v>15.253</v>
      </c>
      <c r="W237">
        <v>0.72</v>
      </c>
      <c r="X237" s="47">
        <f t="shared" si="50"/>
        <v>17.788000000000007</v>
      </c>
      <c r="Y237" s="47">
        <f t="shared" si="51"/>
        <v>17.936000000000007</v>
      </c>
      <c r="Z237">
        <f t="shared" si="52"/>
        <v>0.49999999999999906</v>
      </c>
      <c r="AA237" s="47">
        <f t="shared" si="53"/>
        <v>0.14799999999999969</v>
      </c>
      <c r="AB237">
        <f t="shared" si="54"/>
        <v>4.9999999999999489E-3</v>
      </c>
    </row>
    <row r="238" spans="1:28">
      <c r="A238" s="4">
        <v>44089</v>
      </c>
      <c r="B238">
        <f>YEAR(data[[#This Row],[Date]])</f>
        <v>2020</v>
      </c>
      <c r="C238" s="6">
        <f t="shared" si="27"/>
        <v>0.3</v>
      </c>
      <c r="D238" s="7">
        <f t="shared" si="21"/>
        <v>-0.01</v>
      </c>
      <c r="E238" s="7">
        <f t="shared" si="22"/>
        <v>0</v>
      </c>
      <c r="F238" s="7">
        <f t="shared" si="29"/>
        <v>0</v>
      </c>
      <c r="G238" s="19">
        <v>2.8799999999999999E-2</v>
      </c>
      <c r="H238" s="15">
        <v>0.04</v>
      </c>
      <c r="I238" s="7">
        <f t="shared" si="23"/>
        <v>0.11</v>
      </c>
      <c r="J238" s="7">
        <f t="shared" si="24"/>
        <v>0</v>
      </c>
      <c r="K238" s="11">
        <v>0.08</v>
      </c>
      <c r="L238" s="7">
        <v>0</v>
      </c>
      <c r="M238" s="11">
        <v>7.0000000000000007E-2</v>
      </c>
      <c r="N23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3.1257142857142858E-2</v>
      </c>
      <c r="O23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2.1869517830878597E-2</v>
      </c>
      <c r="P238" s="33">
        <f>IF(data[[#This Row],[Weighted_Avg]]&lt;&gt;"", IFERROR(AVERAGE(O226,O214,O202), ""), "")</f>
        <v>5.6208493435722463E-2</v>
      </c>
      <c r="Q238" s="14" t="b">
        <f>IF(data[[#This Row],[Date]]&gt;MAX(data[Date])-750, TRUE, FALSE)</f>
        <v>0</v>
      </c>
      <c r="R238" s="34">
        <f t="shared" si="39"/>
        <v>0.42999999999999977</v>
      </c>
      <c r="S238" s="3">
        <v>0.185</v>
      </c>
      <c r="T238">
        <v>2.4140000000000001</v>
      </c>
      <c r="V238" s="47">
        <v>15.819000000000001</v>
      </c>
      <c r="W238">
        <v>0.75</v>
      </c>
      <c r="X238" s="47">
        <f t="shared" si="50"/>
        <v>17.937000000000008</v>
      </c>
      <c r="Y238" s="47">
        <f t="shared" si="51"/>
        <v>18.085000000000008</v>
      </c>
      <c r="Z238">
        <f t="shared" si="52"/>
        <v>0.50499999999999901</v>
      </c>
      <c r="AA238" s="47">
        <f t="shared" si="53"/>
        <v>0.14799999999999969</v>
      </c>
      <c r="AB238">
        <f t="shared" si="54"/>
        <v>4.9999999999999489E-3</v>
      </c>
    </row>
    <row r="239" spans="1:28">
      <c r="A239" s="4">
        <v>44119</v>
      </c>
      <c r="B239">
        <f>YEAR(data[[#This Row],[Date]])</f>
        <v>2020</v>
      </c>
      <c r="C239" s="6">
        <f t="shared" si="27"/>
        <v>0.3</v>
      </c>
      <c r="D239" s="7">
        <f t="shared" si="21"/>
        <v>-0.01</v>
      </c>
      <c r="E239" s="7">
        <f t="shared" si="22"/>
        <v>0</v>
      </c>
      <c r="F239" s="7">
        <f t="shared" si="29"/>
        <v>0</v>
      </c>
      <c r="G239" s="19">
        <v>2.8799999999999999E-2</v>
      </c>
      <c r="H239" s="15">
        <f>AVERAGE(0.04, 0.035)</f>
        <v>3.7500000000000006E-2</v>
      </c>
      <c r="I239" s="7">
        <f t="shared" si="23"/>
        <v>0.11</v>
      </c>
      <c r="J239" s="7">
        <f t="shared" si="24"/>
        <v>0</v>
      </c>
      <c r="K239" s="11">
        <v>0.08</v>
      </c>
      <c r="L239" s="7">
        <v>0</v>
      </c>
      <c r="M239" s="11">
        <v>7.0000000000000007E-2</v>
      </c>
      <c r="N23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3.09E-2</v>
      </c>
      <c r="O23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2.1696294011359137E-2</v>
      </c>
      <c r="P239" s="33">
        <f>IF(data[[#This Row],[Weighted_Avg]]&lt;&gt;"", IFERROR(AVERAGE(O227,O215,O203), ""), "")</f>
        <v>5.9488792884003348E-2</v>
      </c>
      <c r="Q239" s="14" t="b">
        <f>IF(data[[#This Row],[Date]]&gt;MAX(data[Date])-750, TRUE, FALSE)</f>
        <v>0</v>
      </c>
      <c r="R239" s="34">
        <f t="shared" si="39"/>
        <v>0.42999999999999977</v>
      </c>
      <c r="S239" s="3">
        <v>0.16</v>
      </c>
      <c r="T239">
        <v>2.3889999999999998</v>
      </c>
      <c r="V239" s="47">
        <v>15.750999999999999</v>
      </c>
      <c r="W239">
        <v>0.76</v>
      </c>
      <c r="X239" s="47">
        <f t="shared" si="50"/>
        <v>18.086000000000009</v>
      </c>
      <c r="Y239" s="47">
        <f t="shared" si="51"/>
        <v>18.234000000000009</v>
      </c>
      <c r="Z239">
        <f t="shared" si="52"/>
        <v>0.5099999999999989</v>
      </c>
      <c r="AA239" s="47">
        <f t="shared" si="53"/>
        <v>0.14799999999999969</v>
      </c>
      <c r="AB239">
        <f t="shared" si="54"/>
        <v>4.9999999999998934E-3</v>
      </c>
    </row>
    <row r="240" spans="1:28">
      <c r="A240" s="4">
        <v>44150</v>
      </c>
      <c r="B240">
        <f>YEAR(data[[#This Row],[Date]])</f>
        <v>2020</v>
      </c>
      <c r="C240" s="6">
        <f t="shared" si="27"/>
        <v>0.3</v>
      </c>
      <c r="D240" s="7">
        <f t="shared" si="21"/>
        <v>-0.02</v>
      </c>
      <c r="E240" s="7">
        <f t="shared" si="22"/>
        <v>0</v>
      </c>
      <c r="F240" s="7">
        <f t="shared" si="29"/>
        <v>0</v>
      </c>
      <c r="G240" s="19">
        <v>2.3E-2</v>
      </c>
      <c r="H240" s="15">
        <f>0.03</f>
        <v>0.03</v>
      </c>
      <c r="I240" s="7">
        <f t="shared" si="23"/>
        <v>0.11</v>
      </c>
      <c r="J240" s="7">
        <f t="shared" si="24"/>
        <v>0</v>
      </c>
      <c r="K240" s="11">
        <v>7.0000000000000007E-2</v>
      </c>
      <c r="L240" s="7">
        <v>0</v>
      </c>
      <c r="M240" s="11">
        <v>7.0000000000000007E-2</v>
      </c>
      <c r="N24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2.7571428571428573E-2</v>
      </c>
      <c r="O24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2.0648305023803017E-2</v>
      </c>
      <c r="P240" s="33">
        <f>IF(data[[#This Row],[Weighted_Avg]]&lt;&gt;"", IFERROR(AVERAGE(O228,O216,O204), ""), "")</f>
        <v>6.4827607005327664E-2</v>
      </c>
      <c r="Q240" s="14" t="b">
        <f>IF(data[[#This Row],[Date]]&gt;MAX(data[Date])-750, TRUE, FALSE)</f>
        <v>0</v>
      </c>
      <c r="R240" s="34">
        <f t="shared" si="39"/>
        <v>0.40500000000000003</v>
      </c>
      <c r="S240" s="3">
        <v>0.14000000000000001</v>
      </c>
      <c r="T240">
        <v>2.4319999999999999</v>
      </c>
      <c r="V240" s="47">
        <v>14.958</v>
      </c>
      <c r="W240">
        <v>0.72</v>
      </c>
      <c r="X240" s="47">
        <f t="shared" si="50"/>
        <v>18.23500000000001</v>
      </c>
      <c r="Y240" s="47">
        <f t="shared" si="51"/>
        <v>18.38300000000001</v>
      </c>
      <c r="Z240">
        <f t="shared" si="52"/>
        <v>0.51499999999999879</v>
      </c>
      <c r="AA240" s="47">
        <f t="shared" si="53"/>
        <v>0.14799999999999969</v>
      </c>
      <c r="AB240">
        <f t="shared" si="54"/>
        <v>4.9999999999998934E-3</v>
      </c>
    </row>
    <row r="241" spans="1:28">
      <c r="A241" s="4">
        <v>44180</v>
      </c>
      <c r="B241">
        <f>YEAR(data[[#This Row],[Date]])</f>
        <v>2020</v>
      </c>
      <c r="C241" s="6">
        <f t="shared" si="27"/>
        <v>0.28999999999999998</v>
      </c>
      <c r="D241" s="7">
        <f t="shared" si="21"/>
        <v>-0.02</v>
      </c>
      <c r="E241" s="7">
        <f t="shared" si="22"/>
        <v>0</v>
      </c>
      <c r="F241" s="7">
        <f t="shared" si="29"/>
        <v>0</v>
      </c>
      <c r="G241" s="19">
        <v>1.7299999999999999E-2</v>
      </c>
      <c r="H241" s="15">
        <f>AVERAGE(0.03, 0.045)</f>
        <v>3.7499999999999999E-2</v>
      </c>
      <c r="I241" s="7">
        <f t="shared" si="23"/>
        <v>0.1</v>
      </c>
      <c r="J241" s="7">
        <f t="shared" si="24"/>
        <v>0</v>
      </c>
      <c r="K241" s="11">
        <v>7.0000000000000007E-2</v>
      </c>
      <c r="L241" s="7">
        <v>0</v>
      </c>
      <c r="M241" s="11">
        <v>0.06</v>
      </c>
      <c r="N24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2.6400000000000003E-2</v>
      </c>
      <c r="O24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1.8646671400271448E-2</v>
      </c>
      <c r="P241" s="33">
        <f>IF(data[[#This Row],[Weighted_Avg]]&lt;&gt;"", IFERROR(AVERAGE(O229,O217,O205), ""), "")</f>
        <v>6.7917055766019266E-2</v>
      </c>
      <c r="Q241" s="14" t="b">
        <f>IF(data[[#This Row],[Date]]&gt;MAX(data[Date])-750, TRUE, FALSE)</f>
        <v>0</v>
      </c>
      <c r="R241" s="34">
        <f t="shared" si="39"/>
        <v>0.41</v>
      </c>
      <c r="S241" s="3">
        <v>0.13500000000000001</v>
      </c>
      <c r="T241">
        <v>2.585</v>
      </c>
      <c r="V241" s="47">
        <v>15.113</v>
      </c>
      <c r="W241">
        <v>0.75</v>
      </c>
      <c r="X241" s="47">
        <f t="shared" ref="X241:X244" si="55">Y240+0.001</f>
        <v>18.384000000000011</v>
      </c>
      <c r="Y241" s="47">
        <f t="shared" ref="Y241:Y244" si="56">X241+AA240</f>
        <v>18.532000000000011</v>
      </c>
      <c r="Z241">
        <f t="shared" ref="Z241:Z244" si="57">Z240+AB240</f>
        <v>0.51999999999999869</v>
      </c>
      <c r="AA241" s="47">
        <f t="shared" ref="AA241:AA244" si="58">Y241-X241</f>
        <v>0.14799999999999969</v>
      </c>
      <c r="AB241">
        <f t="shared" ref="AB241:AB244" si="59">Z241-Z240</f>
        <v>4.9999999999998934E-3</v>
      </c>
    </row>
    <row r="242" spans="1:28">
      <c r="A242" s="4">
        <v>44211</v>
      </c>
      <c r="B242">
        <f>YEAR(data[[#This Row],[Date]])</f>
        <v>2021</v>
      </c>
      <c r="C242" s="6">
        <f t="shared" si="27"/>
        <v>0.3</v>
      </c>
      <c r="D242" s="7">
        <f t="shared" si="21"/>
        <v>-0.01</v>
      </c>
      <c r="E242" s="7">
        <f t="shared" si="22"/>
        <v>0</v>
      </c>
      <c r="F242" s="7">
        <f t="shared" si="29"/>
        <v>0</v>
      </c>
      <c r="G242" s="19">
        <v>2.8799999999999999E-2</v>
      </c>
      <c r="H242" s="15">
        <f>AVERAGE(0.075,0.06)</f>
        <v>6.7500000000000004E-2</v>
      </c>
      <c r="I242" s="7">
        <f t="shared" si="23"/>
        <v>0.11</v>
      </c>
      <c r="J242" s="7">
        <f t="shared" si="24"/>
        <v>0</v>
      </c>
      <c r="K242" s="11">
        <v>0.08</v>
      </c>
      <c r="L242" s="7">
        <v>0</v>
      </c>
      <c r="M242" s="11">
        <v>7.0000000000000007E-2</v>
      </c>
      <c r="N24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3.5185714285714285E-2</v>
      </c>
      <c r="O24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2.519392248255364E-2</v>
      </c>
      <c r="P242" s="33">
        <f>IF(data[[#This Row],[Weighted_Avg]]&lt;&gt;"", IFERROR(AVERAGE(O230,O218,O206), ""), "")</f>
        <v>6.9573848522341122E-2</v>
      </c>
      <c r="Q242" s="14" t="b">
        <f>IF(data[[#This Row],[Date]]&gt;MAX(data[Date])-750, TRUE, FALSE)</f>
        <v>0</v>
      </c>
      <c r="R242" s="34">
        <f t="shared" si="39"/>
        <v>0.41499999999999992</v>
      </c>
      <c r="S242" s="3">
        <v>0.17499999999999999</v>
      </c>
      <c r="T242">
        <v>2.681</v>
      </c>
      <c r="V242" s="47">
        <v>15.321</v>
      </c>
      <c r="W242">
        <v>0.79</v>
      </c>
      <c r="X242" s="47">
        <f t="shared" si="55"/>
        <v>18.533000000000012</v>
      </c>
      <c r="Y242" s="47">
        <f t="shared" si="56"/>
        <v>18.681000000000012</v>
      </c>
      <c r="Z242">
        <f t="shared" si="57"/>
        <v>0.52499999999999858</v>
      </c>
      <c r="AA242" s="47">
        <f t="shared" si="58"/>
        <v>0.14799999999999969</v>
      </c>
      <c r="AB242">
        <f t="shared" si="59"/>
        <v>4.9999999999998934E-3</v>
      </c>
    </row>
    <row r="243" spans="1:28">
      <c r="A243" s="4">
        <v>44242</v>
      </c>
      <c r="B243">
        <f>YEAR(data[[#This Row],[Date]])</f>
        <v>2021</v>
      </c>
      <c r="C243" s="6">
        <f t="shared" si="27"/>
        <v>0.34</v>
      </c>
      <c r="D243" s="7">
        <f t="shared" si="21"/>
        <v>0.03</v>
      </c>
      <c r="E243" s="7">
        <f t="shared" si="22"/>
        <v>0</v>
      </c>
      <c r="F243" s="7">
        <f t="shared" si="29"/>
        <v>0</v>
      </c>
      <c r="G243" s="19">
        <v>5.7500000000000002E-2</v>
      </c>
      <c r="H243" s="15">
        <f>AVERAGE(0.085, 0.1)</f>
        <v>9.2499999999999999E-2</v>
      </c>
      <c r="I243" s="7">
        <f t="shared" si="23"/>
        <v>0.15</v>
      </c>
      <c r="J243" s="7">
        <f t="shared" si="24"/>
        <v>0</v>
      </c>
      <c r="K243" s="11">
        <v>0.12</v>
      </c>
      <c r="L243" s="7">
        <v>0</v>
      </c>
      <c r="M243" s="11">
        <v>0.1</v>
      </c>
      <c r="N24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5.2857142857142859E-2</v>
      </c>
      <c r="O24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3.6659594218519539E-2</v>
      </c>
      <c r="P243" s="33">
        <f>IF(data[[#This Row],[Weighted_Avg]]&lt;&gt;"", IFERROR(AVERAGE(O231,O219,O207), ""), "")</f>
        <v>6.5556572543620004E-2</v>
      </c>
      <c r="Q243" s="14" t="b">
        <f>IF(data[[#This Row],[Date]]&gt;MAX(data[Date])-750, TRUE, FALSE)</f>
        <v>0</v>
      </c>
      <c r="R243" s="34">
        <f t="shared" si="39"/>
        <v>0.43999999999999967</v>
      </c>
      <c r="S243" s="3">
        <v>0.2</v>
      </c>
      <c r="T243">
        <v>2.847</v>
      </c>
      <c r="V243" s="47">
        <v>16.015999999999998</v>
      </c>
      <c r="W243">
        <v>0.86</v>
      </c>
      <c r="X243" s="47">
        <f t="shared" si="55"/>
        <v>18.682000000000013</v>
      </c>
      <c r="Y243" s="47">
        <f t="shared" si="56"/>
        <v>18.830000000000013</v>
      </c>
      <c r="Z243">
        <f t="shared" si="57"/>
        <v>0.52999999999999847</v>
      </c>
      <c r="AA243" s="47">
        <f t="shared" si="58"/>
        <v>0.14799999999999969</v>
      </c>
      <c r="AB243">
        <f t="shared" si="59"/>
        <v>4.9999999999998934E-3</v>
      </c>
    </row>
    <row r="244" spans="1:28">
      <c r="A244" s="4">
        <v>44270</v>
      </c>
      <c r="B244">
        <f>YEAR(data[[#This Row],[Date]])</f>
        <v>2021</v>
      </c>
      <c r="C244" s="6">
        <f t="shared" si="27"/>
        <v>0.36</v>
      </c>
      <c r="D244" s="7">
        <f t="shared" si="21"/>
        <v>0.05</v>
      </c>
      <c r="E244" s="7">
        <f t="shared" si="22"/>
        <v>0</v>
      </c>
      <c r="F244" s="7">
        <f t="shared" si="29"/>
        <v>0</v>
      </c>
      <c r="G244" s="19">
        <v>7.4800000000000005E-2</v>
      </c>
      <c r="H244" s="15">
        <f>AVERAGE(0.105,0.145)</f>
        <v>0.125</v>
      </c>
      <c r="I244" s="7">
        <f t="shared" si="23"/>
        <v>0.18</v>
      </c>
      <c r="J244" s="7">
        <f t="shared" si="24"/>
        <v>0</v>
      </c>
      <c r="K244" s="11">
        <v>0.14000000000000001</v>
      </c>
      <c r="L244" s="7">
        <v>0</v>
      </c>
      <c r="M244" s="11">
        <v>0.12</v>
      </c>
      <c r="N24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6.5685714285714278E-2</v>
      </c>
      <c r="O24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4.5221085434282833E-2</v>
      </c>
      <c r="P244" s="33">
        <f>IF(data[[#This Row],[Weighted_Avg]]&lt;&gt;"", IFERROR(AVERAGE(O232,O220,O208), ""), "")</f>
        <v>6.311033678535212E-2</v>
      </c>
      <c r="Q244" s="14" t="b">
        <f>IF(data[[#This Row],[Date]]&gt;MAX(data[Date])-750, TRUE, FALSE)</f>
        <v>0</v>
      </c>
      <c r="R244" s="34">
        <f t="shared" si="39"/>
        <v>0.46499999999999941</v>
      </c>
      <c r="S244" s="3">
        <v>0.23499999999999999</v>
      </c>
      <c r="T244">
        <v>3.1520000000000001</v>
      </c>
      <c r="V244" s="47">
        <v>16.780999999999999</v>
      </c>
      <c r="W244">
        <v>0.92</v>
      </c>
      <c r="X244" s="47">
        <f t="shared" si="55"/>
        <v>18.831000000000014</v>
      </c>
      <c r="Y244" s="47">
        <f t="shared" si="56"/>
        <v>18.979000000000013</v>
      </c>
      <c r="Z244">
        <f t="shared" si="57"/>
        <v>0.53499999999999837</v>
      </c>
      <c r="AA244" s="47">
        <f t="shared" si="58"/>
        <v>0.14799999999999969</v>
      </c>
      <c r="AB244">
        <f t="shared" si="59"/>
        <v>4.9999999999998934E-3</v>
      </c>
    </row>
    <row r="245" spans="1:28">
      <c r="A245" s="4">
        <v>44301</v>
      </c>
      <c r="B245">
        <f>YEAR(data[[#This Row],[Date]])</f>
        <v>2021</v>
      </c>
      <c r="C245" s="6">
        <f t="shared" si="27"/>
        <v>0.4</v>
      </c>
      <c r="D245" s="7">
        <f t="shared" si="21"/>
        <v>0.09</v>
      </c>
      <c r="E245" s="7">
        <f t="shared" si="22"/>
        <v>0</v>
      </c>
      <c r="F245" s="7">
        <f t="shared" si="29"/>
        <v>0</v>
      </c>
      <c r="G245" s="19">
        <v>0.114</v>
      </c>
      <c r="H245" s="15">
        <f>AVERAGE(0.18,0.2)</f>
        <v>0.19</v>
      </c>
      <c r="I245" s="7">
        <f t="shared" si="23"/>
        <v>0.22</v>
      </c>
      <c r="J245" s="7">
        <f t="shared" si="24"/>
        <v>0</v>
      </c>
      <c r="K245" s="11">
        <v>0.18</v>
      </c>
      <c r="L245" s="7">
        <v>0</v>
      </c>
      <c r="M245" s="11">
        <v>0.15</v>
      </c>
      <c r="N24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9.0571428571428567E-2</v>
      </c>
      <c r="O24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6.0210713302141075E-2</v>
      </c>
      <c r="P245" s="33">
        <f>IF(data[[#This Row],[Weighted_Avg]]&lt;&gt;"", IFERROR(AVERAGE(O233,O221,O209), ""), "")</f>
        <v>6.0588580539761516E-2</v>
      </c>
      <c r="Q245" s="14" t="b">
        <f>IF(data[[#This Row],[Date]]&gt;MAX(data[Date])-750, TRUE, FALSE)</f>
        <v>0</v>
      </c>
      <c r="R245" s="34">
        <f t="shared" si="39"/>
        <v>0.49499999999999911</v>
      </c>
      <c r="S245" s="3">
        <v>0.245</v>
      </c>
      <c r="T245">
        <v>3.13</v>
      </c>
      <c r="V245" s="47">
        <v>17.783000000000001</v>
      </c>
      <c r="W245">
        <v>0.96</v>
      </c>
      <c r="X245" s="47">
        <f t="shared" ref="X245:X249" si="60">Y244+0.001</f>
        <v>18.980000000000015</v>
      </c>
      <c r="Y245" s="47">
        <f t="shared" ref="Y245:Y249" si="61">X245+AA244</f>
        <v>19.128000000000014</v>
      </c>
      <c r="Z245">
        <f t="shared" ref="Z245:Z249" si="62">Z244+AB244</f>
        <v>0.53999999999999826</v>
      </c>
      <c r="AA245" s="47">
        <f t="shared" ref="AA245:AA249" si="63">Y245-X245</f>
        <v>0.14799999999999969</v>
      </c>
      <c r="AB245">
        <f t="shared" ref="AB245:AB249" si="64">Z245-Z244</f>
        <v>4.9999999999998934E-3</v>
      </c>
    </row>
    <row r="246" spans="1:28">
      <c r="A246" s="4">
        <v>44331</v>
      </c>
      <c r="B246">
        <f>YEAR(data[[#This Row],[Date]])</f>
        <v>2021</v>
      </c>
      <c r="C246" s="6">
        <f t="shared" si="27"/>
        <v>0.48</v>
      </c>
      <c r="D246" s="7">
        <f t="shared" si="21"/>
        <v>0.17</v>
      </c>
      <c r="E246" s="7">
        <f t="shared" si="22"/>
        <v>0</v>
      </c>
      <c r="F246" s="7">
        <f t="shared" si="29"/>
        <v>0</v>
      </c>
      <c r="G246" s="19">
        <v>0.17399999999999999</v>
      </c>
      <c r="H246" s="15">
        <f>AVERAGE(0.19,0.185)</f>
        <v>0.1875</v>
      </c>
      <c r="I246" s="7">
        <f t="shared" si="23"/>
        <v>0.28999999999999998</v>
      </c>
      <c r="J246" s="7">
        <f t="shared" si="24"/>
        <v>0</v>
      </c>
      <c r="K246" s="11">
        <v>0.26</v>
      </c>
      <c r="L246" s="7">
        <v>0</v>
      </c>
      <c r="M246" s="11">
        <v>0.22</v>
      </c>
      <c r="N24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0.1202142857142857</v>
      </c>
      <c r="O24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8.1686674401634879E-2</v>
      </c>
      <c r="P246" s="33">
        <f>IF(data[[#This Row],[Weighted_Avg]]&lt;&gt;"", IFERROR(AVERAGE(O234,O222,O210), ""), "")</f>
        <v>5.7016229566643546E-2</v>
      </c>
      <c r="Q246" s="14" t="b">
        <f>IF(data[[#This Row],[Date]]&gt;MAX(data[Date])-750, TRUE, FALSE)</f>
        <v>0</v>
      </c>
      <c r="R246" s="34">
        <f t="shared" si="39"/>
        <v>0.50499999999999901</v>
      </c>
      <c r="S246" s="3">
        <v>0.245</v>
      </c>
      <c r="T246">
        <v>3.2170000000000001</v>
      </c>
      <c r="V246" s="47">
        <v>17.945</v>
      </c>
      <c r="W246">
        <v>0.96</v>
      </c>
      <c r="X246" s="47">
        <f t="shared" si="60"/>
        <v>19.129000000000016</v>
      </c>
      <c r="Y246" s="47">
        <f t="shared" si="61"/>
        <v>19.277000000000015</v>
      </c>
      <c r="Z246">
        <f t="shared" si="62"/>
        <v>0.54499999999999815</v>
      </c>
      <c r="AA246" s="47">
        <f t="shared" si="63"/>
        <v>0.14799999999999969</v>
      </c>
      <c r="AB246">
        <f t="shared" si="64"/>
        <v>4.9999999999998934E-3</v>
      </c>
    </row>
    <row r="247" spans="1:28">
      <c r="A247" s="4">
        <v>44362</v>
      </c>
      <c r="B247">
        <f>YEAR(data[[#This Row],[Date]])</f>
        <v>2021</v>
      </c>
      <c r="C247" s="6">
        <f t="shared" si="27"/>
        <v>0.48</v>
      </c>
      <c r="D247" s="7">
        <f t="shared" si="21"/>
        <v>0.16</v>
      </c>
      <c r="E247" s="7">
        <f t="shared" si="22"/>
        <v>0</v>
      </c>
      <c r="F247" s="7">
        <f t="shared" si="29"/>
        <v>0</v>
      </c>
      <c r="G247" s="19">
        <v>0.16800000000000001</v>
      </c>
      <c r="H247" s="15">
        <f>AVERAGE(0.21, 0.195)</f>
        <v>0.20250000000000001</v>
      </c>
      <c r="I247" s="7">
        <f t="shared" si="23"/>
        <v>0.28999999999999998</v>
      </c>
      <c r="J247" s="7">
        <f t="shared" si="24"/>
        <v>0</v>
      </c>
      <c r="K247" s="11">
        <v>0.25</v>
      </c>
      <c r="L247" s="7">
        <v>0</v>
      </c>
      <c r="M247" s="11">
        <v>0.21</v>
      </c>
      <c r="N24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0.11864285714285715</v>
      </c>
      <c r="O24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7.9884699980476995E-2</v>
      </c>
      <c r="P247" s="33">
        <f>IF(data[[#This Row],[Weighted_Avg]]&lt;&gt;"", IFERROR(AVERAGE(O235,O223,O211), ""), "")</f>
        <v>5.5082490770735133E-2</v>
      </c>
      <c r="Q247" s="14" t="b">
        <f>IF(data[[#This Row],[Date]]&gt;MAX(data[Date])-750, TRUE, FALSE)</f>
        <v>0</v>
      </c>
      <c r="R247" s="34">
        <f t="shared" si="39"/>
        <v>0.50499999999999901</v>
      </c>
      <c r="S247" s="3">
        <v>0.26</v>
      </c>
      <c r="T247">
        <v>3.2869999999999999</v>
      </c>
      <c r="V247" s="47">
        <v>18.004999999999999</v>
      </c>
      <c r="W247">
        <v>0.99</v>
      </c>
      <c r="X247" s="47">
        <f t="shared" si="60"/>
        <v>19.278000000000016</v>
      </c>
      <c r="Y247" s="47">
        <f t="shared" si="61"/>
        <v>19.426000000000016</v>
      </c>
      <c r="Z247">
        <f t="shared" si="62"/>
        <v>0.54999999999999805</v>
      </c>
      <c r="AA247" s="47">
        <f t="shared" si="63"/>
        <v>0.14799999999999969</v>
      </c>
      <c r="AB247">
        <f t="shared" si="64"/>
        <v>4.9999999999998934E-3</v>
      </c>
    </row>
    <row r="248" spans="1:28">
      <c r="A248" s="4">
        <v>44392</v>
      </c>
      <c r="B248">
        <f>YEAR(data[[#This Row],[Date]])</f>
        <v>2021</v>
      </c>
      <c r="C248" s="6">
        <f t="shared" si="27"/>
        <v>0.5</v>
      </c>
      <c r="D248" s="7">
        <f t="shared" si="21"/>
        <v>0.18</v>
      </c>
      <c r="E248" s="7">
        <f t="shared" si="22"/>
        <v>0</v>
      </c>
      <c r="F248" s="7">
        <f t="shared" si="29"/>
        <v>0</v>
      </c>
      <c r="G248" s="19">
        <v>0.186</v>
      </c>
      <c r="H248" s="15">
        <f>AVERAGE(0.215,0.22)</f>
        <v>0.2175</v>
      </c>
      <c r="I248" s="7">
        <f t="shared" si="23"/>
        <v>0.31</v>
      </c>
      <c r="J248" s="7">
        <f t="shared" si="24"/>
        <v>0</v>
      </c>
      <c r="K248" s="11">
        <v>0.27</v>
      </c>
      <c r="L248" s="7">
        <v>0</v>
      </c>
      <c r="M248" s="11">
        <v>0.23</v>
      </c>
      <c r="N24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0.12907142857142856</v>
      </c>
      <c r="O24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8.7165967030625874E-2</v>
      </c>
      <c r="P248" s="33">
        <f>IF(data[[#This Row],[Weighted_Avg]]&lt;&gt;"", IFERROR(AVERAGE(O236,O224,O212), ""), "")</f>
        <v>5.6736197078246897E-2</v>
      </c>
      <c r="Q248" s="14" t="b">
        <f>IF(data[[#This Row],[Date]]&gt;MAX(data[Date])-750, TRUE, FALSE)</f>
        <v>0</v>
      </c>
      <c r="R248" s="34">
        <f t="shared" si="39"/>
        <v>0.51499999999999879</v>
      </c>
      <c r="S248" s="3">
        <v>0.26</v>
      </c>
      <c r="T248">
        <v>3.339</v>
      </c>
      <c r="V248" s="47">
        <v>18.309000000000001</v>
      </c>
      <c r="W248">
        <v>1.01</v>
      </c>
      <c r="X248" s="47">
        <f t="shared" si="60"/>
        <v>19.427000000000017</v>
      </c>
      <c r="Y248" s="47">
        <f t="shared" si="61"/>
        <v>19.575000000000017</v>
      </c>
      <c r="Z248">
        <f t="shared" si="62"/>
        <v>0.55499999999999794</v>
      </c>
      <c r="AA248" s="47">
        <f t="shared" si="63"/>
        <v>0.14799999999999969</v>
      </c>
      <c r="AB248">
        <f t="shared" si="64"/>
        <v>4.9999999999998934E-3</v>
      </c>
    </row>
    <row r="249" spans="1:28">
      <c r="A249" s="4">
        <v>44423</v>
      </c>
      <c r="B249">
        <f>YEAR(data[[#This Row],[Date]])</f>
        <v>2021</v>
      </c>
      <c r="C249" s="6">
        <f t="shared" si="27"/>
        <v>0.51</v>
      </c>
      <c r="D249" s="7">
        <f t="shared" si="21"/>
        <v>0.2</v>
      </c>
      <c r="E249" s="7">
        <f t="shared" si="22"/>
        <v>0.01</v>
      </c>
      <c r="F249" s="7">
        <f t="shared" si="29"/>
        <v>0.01</v>
      </c>
      <c r="G249" s="19">
        <v>0.19800000000000001</v>
      </c>
      <c r="H249" s="15">
        <f>AVERAGE(0.225,0.23)</f>
        <v>0.22750000000000001</v>
      </c>
      <c r="I249" s="7">
        <f t="shared" si="23"/>
        <v>0.33</v>
      </c>
      <c r="J249" s="7">
        <f t="shared" si="24"/>
        <v>0</v>
      </c>
      <c r="K249" s="11">
        <v>0.28999999999999998</v>
      </c>
      <c r="L249" s="7">
        <v>0</v>
      </c>
      <c r="M249" s="11">
        <v>0.24</v>
      </c>
      <c r="N24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0.13650000000000001</v>
      </c>
      <c r="O24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9.1414590584866035E-2</v>
      </c>
      <c r="P249" s="33">
        <f>IF(data[[#This Row],[Weighted_Avg]]&lt;&gt;"", IFERROR(AVERAGE(O237,O225,O213), ""), "")</f>
        <v>5.6185395908201319E-2</v>
      </c>
      <c r="Q249" s="14" t="b">
        <f>IF(data[[#This Row],[Date]]&gt;MAX(data[Date])-750, TRUE, FALSE)</f>
        <v>0</v>
      </c>
      <c r="R249" s="34">
        <f t="shared" si="39"/>
        <v>0.51499999999999879</v>
      </c>
      <c r="S249" s="3">
        <v>0.25</v>
      </c>
      <c r="T249">
        <v>3.35</v>
      </c>
      <c r="V249" s="47">
        <v>18.294</v>
      </c>
      <c r="W249">
        <v>1.01</v>
      </c>
      <c r="X249" s="47">
        <f t="shared" si="60"/>
        <v>19.576000000000018</v>
      </c>
      <c r="Y249" s="47">
        <f t="shared" si="61"/>
        <v>19.724000000000018</v>
      </c>
      <c r="Z249">
        <f t="shared" si="62"/>
        <v>0.55999999999999783</v>
      </c>
      <c r="AA249" s="47">
        <f t="shared" si="63"/>
        <v>0.14799999999999969</v>
      </c>
      <c r="AB249">
        <f t="shared" si="64"/>
        <v>4.9999999999998934E-3</v>
      </c>
    </row>
    <row r="250" spans="1:28">
      <c r="A250" s="4">
        <v>44454</v>
      </c>
      <c r="B250">
        <f>YEAR(data[[#This Row],[Date]])</f>
        <v>2021</v>
      </c>
      <c r="C250" s="6">
        <f t="shared" si="27"/>
        <v>0.53</v>
      </c>
      <c r="D250" s="7">
        <f t="shared" si="21"/>
        <v>0.21</v>
      </c>
      <c r="E250" s="7">
        <f t="shared" si="22"/>
        <v>0.03</v>
      </c>
      <c r="F250" s="7">
        <f t="shared" si="29"/>
        <v>0.02</v>
      </c>
      <c r="G250" s="19">
        <v>0.21</v>
      </c>
      <c r="H250" s="15">
        <f>AVERAGE(0.235,0.23)</f>
        <v>0.23249999999999998</v>
      </c>
      <c r="I250" s="7">
        <f t="shared" si="23"/>
        <v>0.34</v>
      </c>
      <c r="J250" s="7">
        <f t="shared" si="24"/>
        <v>0</v>
      </c>
      <c r="K250" s="11">
        <v>0.3</v>
      </c>
      <c r="L250" s="7">
        <v>0</v>
      </c>
      <c r="M250" s="11">
        <v>0.25</v>
      </c>
      <c r="N25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0.14178571428571426</v>
      </c>
      <c r="O25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9.501559241913729E-2</v>
      </c>
      <c r="P250" s="33">
        <f>IF(data[[#This Row],[Weighted_Avg]]&lt;&gt;"", IFERROR(AVERAGE(O238,O226,O214), ""), "")</f>
        <v>5.4463298192386156E-2</v>
      </c>
      <c r="Q250" s="14" t="b">
        <f>IF(data[[#This Row],[Date]]&gt;MAX(data[Date])-750, TRUE, FALSE)</f>
        <v>0</v>
      </c>
      <c r="R250" s="34">
        <f t="shared" si="39"/>
        <v>0.49999999999999906</v>
      </c>
      <c r="S250" s="3">
        <v>0.25</v>
      </c>
      <c r="T250">
        <v>3.3839999999999999</v>
      </c>
      <c r="V250" s="47">
        <v>17.826000000000001</v>
      </c>
      <c r="W250">
        <v>0.98</v>
      </c>
      <c r="X250" s="47">
        <f t="shared" ref="X250:X254" si="65">Y249+0.001</f>
        <v>19.725000000000019</v>
      </c>
      <c r="Y250" s="47">
        <f t="shared" ref="Y250:Y254" si="66">X250+AA249</f>
        <v>19.873000000000019</v>
      </c>
      <c r="Z250">
        <f t="shared" ref="Z250:Z254" si="67">Z249+AB249</f>
        <v>0.56499999999999773</v>
      </c>
      <c r="AA250" s="47">
        <f t="shared" ref="AA250:AA254" si="68">Y250-X250</f>
        <v>0.14799999999999969</v>
      </c>
      <c r="AB250">
        <f t="shared" ref="AB250:AB254" si="69">Z250-Z249</f>
        <v>4.9999999999998934E-3</v>
      </c>
    </row>
    <row r="251" spans="1:28">
      <c r="A251" s="4">
        <v>44484</v>
      </c>
      <c r="B251">
        <f>YEAR(data[[#This Row],[Date]])</f>
        <v>2021</v>
      </c>
      <c r="C251" s="6">
        <f t="shared" si="27"/>
        <v>0.53</v>
      </c>
      <c r="D251" s="7">
        <f t="shared" si="21"/>
        <v>0.22</v>
      </c>
      <c r="E251" s="7">
        <f t="shared" si="22"/>
        <v>0.03</v>
      </c>
      <c r="F251" s="7">
        <f t="shared" si="29"/>
        <v>0.03</v>
      </c>
      <c r="G251" s="19">
        <v>0.216</v>
      </c>
      <c r="H251" s="15">
        <f>AVERAGE(0.235,0.24)</f>
        <v>0.23749999999999999</v>
      </c>
      <c r="I251" s="7">
        <f t="shared" si="23"/>
        <v>0.34</v>
      </c>
      <c r="J251" s="7">
        <f t="shared" si="24"/>
        <v>0</v>
      </c>
      <c r="K251" s="11">
        <v>0.31</v>
      </c>
      <c r="L251" s="7">
        <v>0</v>
      </c>
      <c r="M251" s="11">
        <v>0.26</v>
      </c>
      <c r="N25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0.14621428571428571</v>
      </c>
      <c r="O25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9.8320199476070957E-2</v>
      </c>
      <c r="P251" s="33">
        <f>IF(data[[#This Row],[Weighted_Avg]]&lt;&gt;"", IFERROR(AVERAGE(O239,O227,O215), ""), "")</f>
        <v>5.4859110298180157E-2</v>
      </c>
      <c r="Q251" s="14" t="b">
        <f>IF(data[[#This Row],[Date]]&gt;MAX(data[Date])-750, TRUE, FALSE)</f>
        <v>0</v>
      </c>
      <c r="R251" s="34">
        <f t="shared" si="39"/>
        <v>0.49499999999999911</v>
      </c>
      <c r="S251" s="3">
        <v>0.25</v>
      </c>
      <c r="T251">
        <v>3.6120000000000001</v>
      </c>
      <c r="V251" s="47">
        <v>17.667000000000002</v>
      </c>
      <c r="W251">
        <v>0.97</v>
      </c>
      <c r="X251" s="47">
        <f t="shared" si="65"/>
        <v>19.87400000000002</v>
      </c>
      <c r="Y251" s="47">
        <f t="shared" si="66"/>
        <v>20.02200000000002</v>
      </c>
      <c r="Z251">
        <f t="shared" si="67"/>
        <v>0.56999999999999762</v>
      </c>
      <c r="AA251" s="47">
        <f t="shared" si="68"/>
        <v>0.14799999999999969</v>
      </c>
      <c r="AB251">
        <f t="shared" si="69"/>
        <v>4.9999999999998934E-3</v>
      </c>
    </row>
    <row r="252" spans="1:28">
      <c r="A252" s="4">
        <v>44515</v>
      </c>
      <c r="B252">
        <f>YEAR(data[[#This Row],[Date]])</f>
        <v>2021</v>
      </c>
      <c r="C252" s="6">
        <f t="shared" si="27"/>
        <v>0.54</v>
      </c>
      <c r="D252" s="7">
        <f t="shared" si="21"/>
        <v>0.23</v>
      </c>
      <c r="E252" s="7">
        <f t="shared" si="22"/>
        <v>0.04</v>
      </c>
      <c r="F252" s="7">
        <f t="shared" si="29"/>
        <v>0.03</v>
      </c>
      <c r="G252" s="19">
        <v>0.26400000000000001</v>
      </c>
      <c r="H252" s="15">
        <f>AVERAGE(0.26,0.305)</f>
        <v>0.28249999999999997</v>
      </c>
      <c r="I252" s="7">
        <f t="shared" si="23"/>
        <v>0.35</v>
      </c>
      <c r="J252" s="7">
        <f t="shared" si="24"/>
        <v>0</v>
      </c>
      <c r="K252" s="11">
        <v>0.32</v>
      </c>
      <c r="L252" s="7">
        <v>0</v>
      </c>
      <c r="M252" s="11">
        <v>0.26</v>
      </c>
      <c r="N25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0.16092857142857145</v>
      </c>
      <c r="O25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0.10434424468629211</v>
      </c>
      <c r="P252" s="33">
        <f>IF(data[[#This Row],[Weighted_Avg]]&lt;&gt;"", IFERROR(AVERAGE(O240,O228,O216), ""), "")</f>
        <v>5.5629770488959236E-2</v>
      </c>
      <c r="Q252" s="14" t="b">
        <f>IF(data[[#This Row],[Date]]&gt;MAX(data[Date])-750, TRUE, FALSE)</f>
        <v>0</v>
      </c>
      <c r="R252" s="34">
        <f t="shared" si="39"/>
        <v>0.49499999999999911</v>
      </c>
      <c r="S252" s="3">
        <v>0.26</v>
      </c>
      <c r="T252">
        <v>3.7269999999999999</v>
      </c>
      <c r="V252" s="47">
        <v>17.759</v>
      </c>
      <c r="W252">
        <v>0.97</v>
      </c>
      <c r="X252" s="47">
        <f t="shared" si="65"/>
        <v>20.023000000000021</v>
      </c>
      <c r="Y252" s="47">
        <f t="shared" si="66"/>
        <v>20.171000000000021</v>
      </c>
      <c r="Z252">
        <f t="shared" si="67"/>
        <v>0.57499999999999751</v>
      </c>
      <c r="AA252" s="47">
        <f t="shared" si="68"/>
        <v>0.14799999999999969</v>
      </c>
      <c r="AB252">
        <f t="shared" si="69"/>
        <v>4.9999999999998934E-3</v>
      </c>
    </row>
    <row r="253" spans="1:28">
      <c r="A253" s="4">
        <v>44545</v>
      </c>
      <c r="B253">
        <f>YEAR(data[[#This Row],[Date]])</f>
        <v>2021</v>
      </c>
      <c r="C253" s="6">
        <f t="shared" si="27"/>
        <v>0.6</v>
      </c>
      <c r="D253" s="7">
        <f t="shared" ref="D253:D261" si="70">IF(T251&gt;2.5,ROUNDDOWN((T251-2.5)/0.04,0)+1,ROUNDUP((T251-2.5)/0.04,0)+1)/100</f>
        <v>0.28000000000000003</v>
      </c>
      <c r="E253" s="7">
        <f t="shared" si="22"/>
        <v>0.1</v>
      </c>
      <c r="F253" s="7">
        <f t="shared" si="29"/>
        <v>0.08</v>
      </c>
      <c r="G253" s="19">
        <v>0.318</v>
      </c>
      <c r="H253" s="15">
        <f>AVERAGE(0.31, 0.31)</f>
        <v>0.31</v>
      </c>
      <c r="I253" s="7">
        <f t="shared" si="23"/>
        <v>0.41</v>
      </c>
      <c r="J253" s="7">
        <f t="shared" si="24"/>
        <v>0</v>
      </c>
      <c r="K253" s="11">
        <v>0.37</v>
      </c>
      <c r="L253" s="7">
        <v>0</v>
      </c>
      <c r="M253" s="11">
        <v>0.33</v>
      </c>
      <c r="N25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0.18971428571428572</v>
      </c>
      <c r="O25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0.12696186927903713</v>
      </c>
      <c r="P253" s="33">
        <f>IF(data[[#This Row],[Weighted_Avg]]&lt;&gt;"", IFERROR(AVERAGE(O241,O229,O217), ""), "")</f>
        <v>5.750150644672667E-2</v>
      </c>
      <c r="Q253" s="14" t="b">
        <f>IF(data[[#This Row],[Date]]&gt;MAX(data[Date])-750, TRUE, FALSE)</f>
        <v>0</v>
      </c>
      <c r="R253" s="34">
        <f t="shared" si="39"/>
        <v>0.50499999999999901</v>
      </c>
      <c r="S253" s="3">
        <v>0.255</v>
      </c>
      <c r="T253">
        <v>3.641</v>
      </c>
      <c r="V253" s="47">
        <v>17.959</v>
      </c>
      <c r="W253">
        <v>0.97</v>
      </c>
      <c r="X253" s="47">
        <f t="shared" si="65"/>
        <v>20.172000000000022</v>
      </c>
      <c r="Y253" s="47">
        <f t="shared" si="66"/>
        <v>20.320000000000022</v>
      </c>
      <c r="Z253">
        <f t="shared" si="67"/>
        <v>0.57999999999999741</v>
      </c>
      <c r="AA253" s="47">
        <f t="shared" si="68"/>
        <v>0.14799999999999969</v>
      </c>
      <c r="AB253">
        <f t="shared" si="69"/>
        <v>4.9999999999998934E-3</v>
      </c>
    </row>
    <row r="254" spans="1:28">
      <c r="A254" s="4">
        <v>44576</v>
      </c>
      <c r="B254">
        <f>YEAR(data[[#This Row],[Date]])</f>
        <v>2022</v>
      </c>
      <c r="C254" s="6">
        <f t="shared" si="27"/>
        <v>0.62</v>
      </c>
      <c r="D254" s="7">
        <f t="shared" si="70"/>
        <v>0.31</v>
      </c>
      <c r="E254" s="7">
        <f t="shared" si="22"/>
        <v>0.12</v>
      </c>
      <c r="F254" s="7">
        <f t="shared" si="29"/>
        <v>0.1</v>
      </c>
      <c r="G254" s="19">
        <v>0.34799999999999998</v>
      </c>
      <c r="H254" s="15">
        <f>AVERAGE(0.305,0.29)</f>
        <v>0.29749999999999999</v>
      </c>
      <c r="I254" s="7">
        <f t="shared" si="23"/>
        <v>0.44</v>
      </c>
      <c r="J254" s="7">
        <f t="shared" si="24"/>
        <v>0</v>
      </c>
      <c r="K254" s="11">
        <v>0.4</v>
      </c>
      <c r="L254" s="7">
        <v>0</v>
      </c>
      <c r="M254" s="11">
        <v>0.33</v>
      </c>
      <c r="N25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0.21364285714285716</v>
      </c>
      <c r="O25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0.18348824681162695</v>
      </c>
      <c r="P254" s="33">
        <f>IF(data[[#This Row],[Weighted_Avg]]&lt;&gt;"", IFERROR(AVERAGE(O242,O230,O218), ""), "")</f>
        <v>5.9711304285402778E-2</v>
      </c>
      <c r="Q254" s="14" t="b">
        <f>IF(data[[#This Row],[Date]]&gt;MAX(data[Date])-750, TRUE, FALSE)</f>
        <v>0</v>
      </c>
      <c r="R254" s="34">
        <f t="shared" si="39"/>
        <v>0.49999999999999906</v>
      </c>
      <c r="S254" s="3">
        <v>0.26500000000000001</v>
      </c>
      <c r="T254">
        <v>3.7240000000000002</v>
      </c>
      <c r="V254" s="47">
        <v>17.835000000000001</v>
      </c>
      <c r="W254">
        <v>0.95</v>
      </c>
      <c r="X254" s="47">
        <f t="shared" si="65"/>
        <v>20.321000000000023</v>
      </c>
      <c r="Y254" s="47">
        <f t="shared" si="66"/>
        <v>20.469000000000023</v>
      </c>
      <c r="Z254">
        <f t="shared" si="67"/>
        <v>0.5849999999999973</v>
      </c>
      <c r="AA254" s="47">
        <f t="shared" si="68"/>
        <v>0.14799999999999969</v>
      </c>
      <c r="AB254">
        <f t="shared" si="69"/>
        <v>4.9999999999998934E-3</v>
      </c>
    </row>
    <row r="255" spans="1:28">
      <c r="A255" s="4">
        <v>44607</v>
      </c>
      <c r="B255">
        <f>YEAR(data[[#This Row],[Date]])</f>
        <v>2022</v>
      </c>
      <c r="C255" s="6">
        <f t="shared" si="27"/>
        <v>0.6</v>
      </c>
      <c r="D255" s="7">
        <f t="shared" si="70"/>
        <v>0.28999999999999998</v>
      </c>
      <c r="E255" s="7">
        <f t="shared" si="22"/>
        <v>0.1</v>
      </c>
      <c r="F255" s="7">
        <f t="shared" si="29"/>
        <v>0.08</v>
      </c>
      <c r="G255" s="19">
        <v>0.32400000000000001</v>
      </c>
      <c r="H255" s="15">
        <f>AVERAGE(0.29,0.315)</f>
        <v>0.30249999999999999</v>
      </c>
      <c r="I255" s="7">
        <f t="shared" si="23"/>
        <v>0.42</v>
      </c>
      <c r="J255" s="7">
        <f t="shared" si="24"/>
        <v>0</v>
      </c>
      <c r="K255" s="11">
        <v>0.38</v>
      </c>
      <c r="L255" s="7">
        <v>0</v>
      </c>
      <c r="M255" s="11">
        <v>0.31</v>
      </c>
      <c r="N25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0.20235714285714287</v>
      </c>
      <c r="O25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0.1685303250378159</v>
      </c>
      <c r="P255" s="33">
        <f>IF(data[[#This Row],[Weighted_Avg]]&lt;&gt;"", IFERROR(AVERAGE(O243,O231,O219), ""), "")</f>
        <v>5.9011593441542505E-2</v>
      </c>
      <c r="Q255" s="14" t="b">
        <f>IF(data[[#This Row],[Date]]&gt;MAX(data[Date])-750, TRUE, FALSE)</f>
        <v>0</v>
      </c>
      <c r="R255" s="34">
        <f t="shared" si="39"/>
        <v>0.5099999999999989</v>
      </c>
      <c r="S255" s="3">
        <v>0.27500000000000002</v>
      </c>
      <c r="T255">
        <v>4.032</v>
      </c>
      <c r="V255" s="47">
        <v>18.096</v>
      </c>
      <c r="W255">
        <v>0.96</v>
      </c>
      <c r="X255" s="47">
        <f t="shared" ref="X255:X259" si="71">Y254+0.001</f>
        <v>20.470000000000024</v>
      </c>
      <c r="Y255" s="47">
        <f t="shared" ref="Y255:Y259" si="72">X255+AA254</f>
        <v>20.618000000000023</v>
      </c>
      <c r="Z255">
        <f t="shared" ref="Z255:Z259" si="73">Z254+AB254</f>
        <v>0.58999999999999719</v>
      </c>
      <c r="AA255" s="47">
        <f t="shared" ref="AA255:AA259" si="74">Y255-X255</f>
        <v>0.14799999999999969</v>
      </c>
      <c r="AB255">
        <f t="shared" ref="AB255:AB259" si="75">Z255-Z254</f>
        <v>4.9999999999998934E-3</v>
      </c>
    </row>
    <row r="256" spans="1:28">
      <c r="A256" s="4">
        <v>44635</v>
      </c>
      <c r="B256">
        <f>YEAR(data[[#This Row],[Date]])</f>
        <v>2022</v>
      </c>
      <c r="C256" s="6">
        <f t="shared" si="27"/>
        <v>0.62</v>
      </c>
      <c r="D256" s="7">
        <f t="shared" si="70"/>
        <v>0.31</v>
      </c>
      <c r="E256" s="7">
        <f t="shared" si="22"/>
        <v>0.12</v>
      </c>
      <c r="F256" s="7">
        <f t="shared" si="29"/>
        <v>0.1</v>
      </c>
      <c r="G256" s="19">
        <v>0.37</v>
      </c>
      <c r="H256" s="15">
        <f>AVERAGE(0.345,0.375)</f>
        <v>0.36</v>
      </c>
      <c r="I256" s="7">
        <f t="shared" si="23"/>
        <v>0.44</v>
      </c>
      <c r="J256" s="7">
        <f t="shared" si="24"/>
        <v>0</v>
      </c>
      <c r="K256" s="11">
        <v>0.4</v>
      </c>
      <c r="L256" s="7">
        <v>0</v>
      </c>
      <c r="M256" s="11">
        <v>0.33</v>
      </c>
      <c r="N25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0.22571428571428573</v>
      </c>
      <c r="O25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0.18962084377219568</v>
      </c>
      <c r="P256" s="33">
        <f>IF(data[[#This Row],[Weighted_Avg]]&lt;&gt;"", IFERROR(AVERAGE(O244,O232,O220), ""), "")</f>
        <v>5.7355520681942392E-2</v>
      </c>
      <c r="Q256" s="14" t="b">
        <f>IF(data[[#This Row],[Date]]&gt;MAX(data[Date])-750, TRUE, FALSE)</f>
        <v>0</v>
      </c>
      <c r="R256" s="34">
        <f t="shared" si="39"/>
        <v>0.52999999999999847</v>
      </c>
      <c r="S256" s="3">
        <v>0.28000000000000003</v>
      </c>
      <c r="T256">
        <v>5.1050000000000004</v>
      </c>
      <c r="V256" s="47">
        <v>18.716999999999999</v>
      </c>
      <c r="W256">
        <v>1.02</v>
      </c>
      <c r="X256" s="47">
        <f t="shared" si="71"/>
        <v>20.619000000000025</v>
      </c>
      <c r="Y256" s="47">
        <f t="shared" si="72"/>
        <v>20.767000000000024</v>
      </c>
      <c r="Z256">
        <f t="shared" si="73"/>
        <v>0.59499999999999709</v>
      </c>
      <c r="AA256" s="47">
        <f t="shared" si="74"/>
        <v>0.14799999999999969</v>
      </c>
      <c r="AB256">
        <f t="shared" si="75"/>
        <v>4.9999999999998934E-3</v>
      </c>
    </row>
    <row r="257" spans="1:28">
      <c r="A257" s="4">
        <v>44666</v>
      </c>
      <c r="B257">
        <f>YEAR(data[[#This Row],[Date]])</f>
        <v>2022</v>
      </c>
      <c r="C257" s="6">
        <f t="shared" si="27"/>
        <v>0.7</v>
      </c>
      <c r="D257" s="7">
        <f t="shared" si="70"/>
        <v>0.39</v>
      </c>
      <c r="E257" s="7">
        <f t="shared" si="22"/>
        <v>0.2</v>
      </c>
      <c r="F257" s="7">
        <f t="shared" si="29"/>
        <v>0.16</v>
      </c>
      <c r="G257" s="19">
        <v>0.45450000000000002</v>
      </c>
      <c r="H257" s="15">
        <f>AVERAGE(0.465,0.615)</f>
        <v>0.54</v>
      </c>
      <c r="I257" s="7">
        <f t="shared" si="23"/>
        <v>0.51</v>
      </c>
      <c r="J257" s="7">
        <f t="shared" si="24"/>
        <v>0.08</v>
      </c>
      <c r="K257" s="11">
        <v>0.48</v>
      </c>
      <c r="L257" s="7">
        <v>0</v>
      </c>
      <c r="M257" s="11">
        <v>0.39</v>
      </c>
      <c r="N25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0.29492857142857148</v>
      </c>
      <c r="O25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0.25934448740523186</v>
      </c>
      <c r="P257" s="33">
        <f>IF(data[[#This Row],[Weighted_Avg]]&lt;&gt;"", IFERROR(AVERAGE(O245,O233,O221), ""), "")</f>
        <v>6.0049133296257363E-2</v>
      </c>
      <c r="Q257" s="14" t="b">
        <f>IF(data[[#This Row],[Date]]&gt;MAX(data[Date])-750, TRUE, FALSE)</f>
        <v>0</v>
      </c>
      <c r="R257" s="34">
        <f t="shared" si="39"/>
        <v>0.52499999999999858</v>
      </c>
      <c r="S257" s="3">
        <v>0.28999999999999998</v>
      </c>
      <c r="T257" s="42">
        <v>5.12</v>
      </c>
      <c r="V257" s="47">
        <v>18.574000000000002</v>
      </c>
      <c r="W257">
        <v>1.01</v>
      </c>
      <c r="X257" s="47">
        <f t="shared" si="71"/>
        <v>20.768000000000026</v>
      </c>
      <c r="Y257" s="47">
        <f t="shared" si="72"/>
        <v>20.916000000000025</v>
      </c>
      <c r="Z257">
        <f t="shared" si="73"/>
        <v>0.59999999999999698</v>
      </c>
      <c r="AA257" s="47">
        <f t="shared" si="74"/>
        <v>0.14799999999999969</v>
      </c>
      <c r="AB257">
        <f t="shared" si="75"/>
        <v>4.9999999999998934E-3</v>
      </c>
    </row>
    <row r="258" spans="1:28">
      <c r="A258" s="4">
        <v>44696</v>
      </c>
      <c r="B258">
        <f>YEAR(data[[#This Row],[Date]])</f>
        <v>2022</v>
      </c>
      <c r="C258" s="6">
        <f t="shared" si="27"/>
        <v>0.97</v>
      </c>
      <c r="D258" s="7">
        <f t="shared" si="70"/>
        <v>0.66</v>
      </c>
      <c r="E258" s="7">
        <f t="shared" si="22"/>
        <v>0.47</v>
      </c>
      <c r="F258" s="7">
        <f t="shared" si="29"/>
        <v>0.38</v>
      </c>
      <c r="G258" s="19">
        <v>0.73399999999999999</v>
      </c>
      <c r="H258" s="15">
        <f>AVERAGE(0.61,0.6)</f>
        <v>0.60499999999999998</v>
      </c>
      <c r="I258" s="7">
        <f t="shared" si="23"/>
        <v>0.78</v>
      </c>
      <c r="J258" s="7">
        <f t="shared" si="24"/>
        <v>0.34</v>
      </c>
      <c r="K258" s="11">
        <v>0.75</v>
      </c>
      <c r="L258" s="7">
        <v>0</v>
      </c>
      <c r="M258" s="11">
        <v>0.61</v>
      </c>
      <c r="N25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0.45271428571428574</v>
      </c>
      <c r="O25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0.45717561953743946</v>
      </c>
      <c r="P258" s="33">
        <f>IF(data[[#This Row],[Weighted_Avg]]&lt;&gt;"", IFERROR(AVERAGE(O246,O234,O222), ""), "")</f>
        <v>6.4046671462491975E-2</v>
      </c>
      <c r="Q258" s="14" t="b">
        <f>IF(data[[#This Row],[Date]]&gt;MAX(data[Date])-750, TRUE, FALSE)</f>
        <v>0</v>
      </c>
      <c r="R258" s="34">
        <f t="shared" si="39"/>
        <v>0.54499999999999815</v>
      </c>
      <c r="S258" s="50">
        <f>AVERAGE(S257,S259)</f>
        <v>0.29749999999999999</v>
      </c>
      <c r="T258" s="42">
        <v>5.5709999999999997</v>
      </c>
      <c r="V258" s="47">
        <v>19.190999999999999</v>
      </c>
      <c r="W258">
        <v>1.04</v>
      </c>
      <c r="X258" s="47">
        <f t="shared" si="71"/>
        <v>20.917000000000026</v>
      </c>
      <c r="Y258" s="47">
        <f t="shared" si="72"/>
        <v>21.065000000000026</v>
      </c>
      <c r="Z258">
        <f t="shared" si="73"/>
        <v>0.60499999999999687</v>
      </c>
      <c r="AA258" s="47">
        <f t="shared" si="74"/>
        <v>0.14799999999999969</v>
      </c>
      <c r="AB258">
        <f t="shared" si="75"/>
        <v>4.9999999999998934E-3</v>
      </c>
    </row>
    <row r="259" spans="1:28">
      <c r="A259" s="4">
        <v>44727</v>
      </c>
      <c r="B259">
        <f>YEAR(data[[#This Row],[Date]])</f>
        <v>2022</v>
      </c>
      <c r="C259" s="6">
        <f t="shared" si="27"/>
        <v>0.97</v>
      </c>
      <c r="D259" s="7">
        <f t="shared" si="70"/>
        <v>0.66</v>
      </c>
      <c r="E259" s="7">
        <f t="shared" si="22"/>
        <v>0.47</v>
      </c>
      <c r="F259" s="7">
        <f t="shared" si="29"/>
        <v>0.38</v>
      </c>
      <c r="G259" s="19">
        <v>0.73399999999999999</v>
      </c>
      <c r="H259" s="15">
        <f>AVERAGE(0.695,0.7)</f>
        <v>0.69750000000000001</v>
      </c>
      <c r="I259" s="7">
        <f t="shared" si="23"/>
        <v>0.79</v>
      </c>
      <c r="J259" s="7">
        <f t="shared" si="24"/>
        <v>0.35</v>
      </c>
      <c r="K259" s="11">
        <v>0.75</v>
      </c>
      <c r="L259" s="7">
        <v>0</v>
      </c>
      <c r="M259" s="11">
        <v>0.61</v>
      </c>
      <c r="N25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0.46592857142857141</v>
      </c>
      <c r="O25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0.46418008093781904</v>
      </c>
      <c r="P259" s="33">
        <f>IF(data[[#This Row],[Weighted_Avg]]&lt;&gt;"", IFERROR(AVERAGE(O247,O235,O223), ""), "")</f>
        <v>5.9050745954823049E-2</v>
      </c>
      <c r="Q259" s="14" t="b">
        <f>IF(data[[#This Row],[Date]]&gt;MAX(data[Date])-750, TRUE, FALSE)</f>
        <v>0</v>
      </c>
      <c r="R259" s="34">
        <f t="shared" si="39"/>
        <v>0.55999999999999783</v>
      </c>
      <c r="S259" s="3">
        <v>0.30499999999999999</v>
      </c>
      <c r="T259" s="42">
        <v>5.7539999999999996</v>
      </c>
      <c r="V259" s="47">
        <v>19.646000000000001</v>
      </c>
      <c r="W259">
        <v>1.1000000000000001</v>
      </c>
      <c r="X259" s="47">
        <f t="shared" si="71"/>
        <v>21.066000000000027</v>
      </c>
      <c r="Y259" s="47">
        <f t="shared" si="72"/>
        <v>21.214000000000027</v>
      </c>
      <c r="Z259">
        <f t="shared" si="73"/>
        <v>0.60999999999999677</v>
      </c>
      <c r="AA259" s="47">
        <f t="shared" si="74"/>
        <v>0.14799999999999969</v>
      </c>
      <c r="AB259">
        <f t="shared" si="75"/>
        <v>4.9999999999998934E-3</v>
      </c>
    </row>
    <row r="260" spans="1:28">
      <c r="A260" s="4">
        <v>44757</v>
      </c>
      <c r="B260">
        <f>YEAR(data[[#This Row],[Date]])</f>
        <v>2022</v>
      </c>
      <c r="C260" s="6">
        <f t="shared" si="27"/>
        <v>1.0900000000000001</v>
      </c>
      <c r="D260" s="7">
        <f t="shared" si="70"/>
        <v>0.77</v>
      </c>
      <c r="E260" s="7">
        <f t="shared" ref="E260:E261" si="76">IF(T258&gt;3.25, ROUNDDOWN((T258-3.25)/0.04, 0)+1, 0)/100</f>
        <v>0.59</v>
      </c>
      <c r="F260" s="7">
        <f t="shared" si="29"/>
        <v>0.47</v>
      </c>
      <c r="G260" s="19">
        <v>0.85099999999999998</v>
      </c>
      <c r="H260" s="15">
        <f>AVERAGE(0.705, 0.725)</f>
        <v>0.71499999999999997</v>
      </c>
      <c r="I260" s="7">
        <f t="shared" ref="I260:I308" si="77">IF(T258&gt;2, ROUNDDOWN((T258-2)/0.04, 0)+1, 0)/100</f>
        <v>0.9</v>
      </c>
      <c r="J260" s="7">
        <f t="shared" ref="J260:J308" si="78">IF(T258&gt;=3.75, ROUNDDOWN((T258-3.75)/0.04, 0)+1, 0)/100</f>
        <v>0.46</v>
      </c>
      <c r="K260" s="11">
        <v>0.86</v>
      </c>
      <c r="L260" s="7">
        <v>0</v>
      </c>
      <c r="M260" s="11">
        <v>0.7</v>
      </c>
      <c r="N26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0.53085714285714281</v>
      </c>
      <c r="O26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0.54872168108885422</v>
      </c>
      <c r="P260" s="33">
        <f>IF(data[[#This Row],[Weighted_Avg]]&lt;&gt;"", IFERROR(AVERAGE(O248,O236,O224), ""), "")</f>
        <v>6.0075552906005379E-2</v>
      </c>
      <c r="Q260" s="14" t="b">
        <f>IF(data[[#This Row],[Date]]&gt;MAX(data[Date])-750, TRUE, FALSE)</f>
        <v>0</v>
      </c>
      <c r="R260" s="34">
        <f t="shared" ref="R260:R291" si="79">AVERAGEIFS(Z:Z,X:X,  "&lt;="&amp;V260,Y:Y, "&gt;="&amp;V260)</f>
        <v>0.56499999999999773</v>
      </c>
      <c r="S260" s="3">
        <v>0.31</v>
      </c>
      <c r="T260" s="42">
        <v>5.4859999999999998</v>
      </c>
      <c r="V260" s="47">
        <v>19.86</v>
      </c>
      <c r="W260">
        <v>1.1100000000000001</v>
      </c>
      <c r="X260" s="47">
        <f t="shared" ref="X260:X269" si="80">Y259+0.001</f>
        <v>21.215000000000028</v>
      </c>
      <c r="Y260" s="47">
        <f t="shared" ref="Y260:Y269" si="81">X260+AA259</f>
        <v>21.363000000000028</v>
      </c>
      <c r="Z260">
        <f t="shared" ref="Z260:Z269" si="82">Z259+AB259</f>
        <v>0.61499999999999666</v>
      </c>
      <c r="AA260" s="47">
        <f t="shared" ref="AA260:AA269" si="83">Y260-X260</f>
        <v>0.14799999999999969</v>
      </c>
      <c r="AB260">
        <f t="shared" ref="AB260:AB269" si="84">Z260-Z259</f>
        <v>4.9999999999998934E-3</v>
      </c>
    </row>
    <row r="261" spans="1:28">
      <c r="A261" s="4">
        <v>44788</v>
      </c>
      <c r="B261">
        <f>YEAR(data[[#This Row],[Date]])</f>
        <v>2022</v>
      </c>
      <c r="C261" s="6">
        <f t="shared" si="27"/>
        <v>1.1299999999999999</v>
      </c>
      <c r="D261" s="7">
        <f t="shared" si="70"/>
        <v>0.82</v>
      </c>
      <c r="E261" s="7">
        <f t="shared" si="76"/>
        <v>0.63</v>
      </c>
      <c r="F261" s="7">
        <f t="shared" si="29"/>
        <v>0.51</v>
      </c>
      <c r="G261" s="19">
        <v>0.90300000000000002</v>
      </c>
      <c r="H261" s="15">
        <f>AVERAGE(0.65,0.715)</f>
        <v>0.6825</v>
      </c>
      <c r="I261" s="7">
        <f t="shared" si="77"/>
        <v>0.94</v>
      </c>
      <c r="J261" s="7">
        <f t="shared" si="78"/>
        <v>0.51</v>
      </c>
      <c r="K261" s="11">
        <v>0.91</v>
      </c>
      <c r="L261" s="7">
        <v>0</v>
      </c>
      <c r="M261" s="11">
        <v>0.74</v>
      </c>
      <c r="N26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0.55221428571428566</v>
      </c>
      <c r="O26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0.57749144489080018</v>
      </c>
      <c r="P261" s="33">
        <f>IF(data[[#This Row],[Weighted_Avg]]&lt;&gt;"", IFERROR(AVERAGE(O249,O237,O225), ""), "")</f>
        <v>6.0455171219621594E-2</v>
      </c>
      <c r="Q261" s="14" t="b">
        <f>IF(data[[#This Row],[Date]]&gt;MAX(data[Date])-750, TRUE, FALSE)</f>
        <v>0</v>
      </c>
      <c r="R261" s="34">
        <f t="shared" si="79"/>
        <v>0.56999999999999762</v>
      </c>
      <c r="S261" s="3">
        <v>0.315</v>
      </c>
      <c r="T261" s="42">
        <v>5.0129999999999999</v>
      </c>
      <c r="V261" s="47">
        <v>19.966000000000001</v>
      </c>
      <c r="W261">
        <v>1.1299999999999999</v>
      </c>
      <c r="X261" s="47">
        <f t="shared" si="80"/>
        <v>21.364000000000029</v>
      </c>
      <c r="Y261" s="47">
        <f t="shared" si="81"/>
        <v>21.512000000000029</v>
      </c>
      <c r="Z261">
        <f t="shared" si="82"/>
        <v>0.61999999999999655</v>
      </c>
      <c r="AA261" s="47">
        <f t="shared" si="83"/>
        <v>0.14799999999999969</v>
      </c>
      <c r="AB261">
        <f t="shared" si="84"/>
        <v>4.9999999999998934E-3</v>
      </c>
    </row>
    <row r="262" spans="1:28">
      <c r="A262" s="4">
        <v>44819</v>
      </c>
      <c r="B262">
        <f>YEAR(data[[#This Row],[Date]])</f>
        <v>2022</v>
      </c>
      <c r="C262" s="6">
        <f>IF(T260&gt;1.25, ROUNDDOWN((T260-1.25)/0.04, 0)+1, 0)/100</f>
        <v>1.06</v>
      </c>
      <c r="D262" s="7">
        <f>IF(T260&gt;2.5,ROUNDDOWN((T260-2.5)/0.04,0)+1,ROUNDUP((T260-2.5)/0.04,0)+1)/100</f>
        <v>0.75</v>
      </c>
      <c r="E262" s="7">
        <f>IF(T260&gt;3.25, ROUNDDOWN((T260-3.25)/0.04, 0)+1, 0)/100</f>
        <v>0.56000000000000005</v>
      </c>
      <c r="F262" s="7">
        <f t="shared" si="29"/>
        <v>0.45</v>
      </c>
      <c r="G262" s="19">
        <v>0.83150000000000002</v>
      </c>
      <c r="H262" s="15">
        <f>AVERAGE(0.59,0.555)</f>
        <v>0.57250000000000001</v>
      </c>
      <c r="I262" s="7">
        <f t="shared" si="77"/>
        <v>0.88</v>
      </c>
      <c r="J262" s="7">
        <f t="shared" si="78"/>
        <v>0.44</v>
      </c>
      <c r="K262" s="7">
        <v>0.84</v>
      </c>
      <c r="L262" s="7">
        <v>0</v>
      </c>
      <c r="M262" s="7">
        <v>0.68</v>
      </c>
      <c r="N26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0.49771428571428578</v>
      </c>
      <c r="O26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0.5185398332522585</v>
      </c>
      <c r="P262" s="33">
        <f>IF(data[[#This Row],[Weighted_Avg]]&lt;&gt;"", IFERROR(AVERAGE(O250,O238,O226), ""), "")</f>
        <v>6.0671358538212317E-2</v>
      </c>
      <c r="Q262" s="14" t="b">
        <f>IF(data[[#This Row],[Date]]&gt;MAX(data[Date])-750, TRUE, FALSE)</f>
        <v>0</v>
      </c>
      <c r="R262" s="34">
        <f t="shared" si="79"/>
        <v>0.57499999999999751</v>
      </c>
      <c r="S262" s="3">
        <v>0.32</v>
      </c>
      <c r="T262">
        <v>4.9930000000000003</v>
      </c>
      <c r="V262" s="47">
        <v>20.12</v>
      </c>
      <c r="W262">
        <v>1.1100000000000001</v>
      </c>
      <c r="X262" s="47">
        <f t="shared" si="80"/>
        <v>21.51300000000003</v>
      </c>
      <c r="Y262" s="47">
        <f t="shared" si="81"/>
        <v>21.66100000000003</v>
      </c>
      <c r="Z262">
        <f t="shared" si="82"/>
        <v>0.62499999999999645</v>
      </c>
      <c r="AA262" s="47">
        <f t="shared" si="83"/>
        <v>0.14799999999999969</v>
      </c>
      <c r="AB262">
        <f t="shared" si="84"/>
        <v>4.9999999999998934E-3</v>
      </c>
    </row>
    <row r="263" spans="1:28">
      <c r="A263" s="4">
        <v>44849</v>
      </c>
      <c r="B263">
        <f>YEAR(data[[#This Row],[Date]])</f>
        <v>2022</v>
      </c>
      <c r="C263" s="6">
        <f>IF(T261&gt;1.25, ROUNDDOWN((T261-1.25)/0.04, 0)+1, 0)/100</f>
        <v>0.95</v>
      </c>
      <c r="D263" s="7">
        <f>IF(T261&gt;2.5,ROUNDDOWN((T261-2.5)/0.04,0)+1,ROUNDUP((T261-2.5)/0.04,0)+1)/100</f>
        <v>0.63</v>
      </c>
      <c r="E263" s="7">
        <f>IF(T261&gt;3.25, ROUNDDOWN((T261-3.25)/0.04, 0)+1, 0)/100</f>
        <v>0.45</v>
      </c>
      <c r="F263" s="7">
        <f t="shared" si="29"/>
        <v>0.36</v>
      </c>
      <c r="G263" s="19">
        <v>0.70799999999999996</v>
      </c>
      <c r="H263" s="15">
        <f>AVERAGE(0.595,0.575)</f>
        <v>0.58499999999999996</v>
      </c>
      <c r="I263" s="7">
        <f t="shared" si="77"/>
        <v>0.76</v>
      </c>
      <c r="J263" s="7">
        <f t="shared" si="78"/>
        <v>0.32</v>
      </c>
      <c r="K263" s="7">
        <v>0.72</v>
      </c>
      <c r="L263" s="7">
        <v>0</v>
      </c>
      <c r="M263" s="7">
        <v>0.59</v>
      </c>
      <c r="N26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0.43614285714285711</v>
      </c>
      <c r="O26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0.43989415126815523</v>
      </c>
      <c r="P263" s="33">
        <f>IF(data[[#This Row],[Weighted_Avg]]&lt;&gt;"", IFERROR(AVERAGE(O251,O239,O227), ""), "")</f>
        <v>6.1462666590778349E-2</v>
      </c>
      <c r="Q263" s="14" t="b">
        <f>IF(data[[#This Row],[Date]]&gt;MAX(data[Date])-750, TRUE, FALSE)</f>
        <v>0</v>
      </c>
      <c r="R263" s="34">
        <f t="shared" si="79"/>
        <v>0.57999999999999741</v>
      </c>
      <c r="S263" s="3">
        <v>0.32500000000000001</v>
      </c>
      <c r="T263">
        <v>5.2110000000000003</v>
      </c>
      <c r="V263" s="47">
        <v>20.256</v>
      </c>
      <c r="W263">
        <v>1.1399999999999999</v>
      </c>
      <c r="X263" s="47">
        <f t="shared" si="80"/>
        <v>21.662000000000031</v>
      </c>
      <c r="Y263" s="47">
        <f t="shared" si="81"/>
        <v>21.810000000000031</v>
      </c>
      <c r="Z263">
        <f t="shared" si="82"/>
        <v>0.62999999999999634</v>
      </c>
      <c r="AA263" s="47">
        <f t="shared" si="83"/>
        <v>0.14799999999999969</v>
      </c>
      <c r="AB263">
        <f t="shared" si="84"/>
        <v>4.9999999999998934E-3</v>
      </c>
    </row>
    <row r="264" spans="1:28">
      <c r="A264" s="4">
        <v>44880</v>
      </c>
      <c r="B264">
        <f>YEAR(data[[#This Row],[Date]])</f>
        <v>2022</v>
      </c>
      <c r="C264" s="6">
        <f t="shared" ref="C264" si="85">IF(T262&gt;1.25, ROUNDDOWN((T262-1.25)/0.04, 0)+1, 0)/100</f>
        <v>0.94</v>
      </c>
      <c r="D264" s="7">
        <f t="shared" ref="D264" si="86">IF(T262&gt;2.5,ROUNDDOWN((T262-2.5)/0.04,0)+1,ROUNDUP((T262-2.5)/0.04,0)+1)/100</f>
        <v>0.63</v>
      </c>
      <c r="E264" s="7">
        <f t="shared" ref="E264" si="87">IF(T262&gt;3.25, ROUNDDOWN((T262-3.25)/0.04, 0)+1, 0)/100</f>
        <v>0.44</v>
      </c>
      <c r="F264" s="7">
        <f t="shared" si="29"/>
        <v>0.35</v>
      </c>
      <c r="G264" s="19">
        <v>0.70150000000000001</v>
      </c>
      <c r="H264" s="15">
        <f>AVERAGE(0.645,0.58)</f>
        <v>0.61250000000000004</v>
      </c>
      <c r="I264" s="7">
        <f t="shared" si="77"/>
        <v>0.75</v>
      </c>
      <c r="J264" s="7">
        <f t="shared" si="78"/>
        <v>0.32</v>
      </c>
      <c r="K264" s="7">
        <v>0.72</v>
      </c>
      <c r="L264" s="7">
        <v>0</v>
      </c>
      <c r="M264" s="7">
        <v>0.57999999999999996</v>
      </c>
      <c r="N26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0.43628571428571433</v>
      </c>
      <c r="O26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0.4349614407266742</v>
      </c>
      <c r="P264" s="33">
        <f>IF(data[[#This Row],[Weighted_Avg]]&lt;&gt;"", IFERROR(AVERAGE(O252,O240,O228), ""), "")</f>
        <v>6.3356565170077858E-2</v>
      </c>
      <c r="Q264" s="14" t="b">
        <f>IF(data[[#This Row],[Date]]&gt;MAX(data[Date])-750, TRUE, FALSE)</f>
        <v>0</v>
      </c>
      <c r="R264" s="34">
        <f t="shared" si="79"/>
        <v>0.5849999999999973</v>
      </c>
      <c r="S264" s="3">
        <v>0.32500000000000001</v>
      </c>
      <c r="T264">
        <v>5.2549999999999999</v>
      </c>
      <c r="V264" s="47">
        <v>20.413</v>
      </c>
      <c r="W264">
        <v>1.1499999999999999</v>
      </c>
      <c r="X264" s="47">
        <f t="shared" si="80"/>
        <v>21.811000000000032</v>
      </c>
      <c r="Y264" s="47">
        <f t="shared" si="81"/>
        <v>21.959000000000032</v>
      </c>
      <c r="Z264">
        <f t="shared" si="82"/>
        <v>0.63499999999999623</v>
      </c>
      <c r="AA264" s="47">
        <f t="shared" si="83"/>
        <v>0.14799999999999969</v>
      </c>
      <c r="AB264">
        <f t="shared" si="84"/>
        <v>4.9999999999998934E-3</v>
      </c>
    </row>
    <row r="265" spans="1:28">
      <c r="A265" s="4">
        <v>44910</v>
      </c>
      <c r="B265">
        <f>YEAR(data[[#This Row],[Date]])</f>
        <v>2022</v>
      </c>
      <c r="C265" s="6">
        <f>IF(T263&gt;1.25, ROUNDDOWN((T263-1.25)/0.04, 0)+1, 0)/100</f>
        <v>1</v>
      </c>
      <c r="D265" s="7">
        <f>IF(T263&gt;2.5,ROUNDDOWN((T263-2.5)/0.04,0)+1,ROUNDUP((T263-2.5)/0.04,0)+1)/100</f>
        <v>0.68</v>
      </c>
      <c r="E265" s="7">
        <f>IF(T263&gt;3.25, ROUNDDOWN((T263-3.25)/0.04, 0)+1, 0)/100</f>
        <v>0.5</v>
      </c>
      <c r="F265" s="7">
        <f t="shared" si="29"/>
        <v>0.4</v>
      </c>
      <c r="G265" s="19">
        <v>0.76</v>
      </c>
      <c r="H265" s="15">
        <f>AVERAGE(0.645,0.63)</f>
        <v>0.63749999999999996</v>
      </c>
      <c r="I265" s="7">
        <f t="shared" si="77"/>
        <v>0.81</v>
      </c>
      <c r="J265" s="7">
        <f t="shared" si="78"/>
        <v>0.37</v>
      </c>
      <c r="K265" s="7">
        <v>0.77</v>
      </c>
      <c r="L265" s="7">
        <v>0</v>
      </c>
      <c r="M265" s="7">
        <v>0.63</v>
      </c>
      <c r="N26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0.47107142857142853</v>
      </c>
      <c r="O26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0.47944143046480625</v>
      </c>
      <c r="P265" s="33">
        <f>IF(data[[#This Row],[Weighted_Avg]]&lt;&gt;"", IFERROR(AVERAGE(O253,O241,O229), ""), "")</f>
        <v>7.1271208043109033E-2</v>
      </c>
      <c r="Q265" s="14" t="b">
        <f>IF(data[[#This Row],[Date]]&gt;MAX(data[Date])-750, TRUE, FALSE)</f>
        <v>0</v>
      </c>
      <c r="R265" s="34">
        <f t="shared" si="79"/>
        <v>0.58999999999999719</v>
      </c>
      <c r="S265" s="3">
        <v>0.33</v>
      </c>
      <c r="T265">
        <v>4.7140000000000004</v>
      </c>
      <c r="V265" s="47">
        <v>20.481000000000002</v>
      </c>
      <c r="W265">
        <v>1.1599999999999999</v>
      </c>
      <c r="X265" s="47">
        <f t="shared" si="80"/>
        <v>21.960000000000033</v>
      </c>
      <c r="Y265" s="47">
        <f t="shared" si="81"/>
        <v>22.108000000000033</v>
      </c>
      <c r="Z265">
        <f t="shared" si="82"/>
        <v>0.63999999999999613</v>
      </c>
      <c r="AA265" s="47">
        <f t="shared" si="83"/>
        <v>0.14799999999999969</v>
      </c>
      <c r="AB265">
        <f t="shared" si="84"/>
        <v>4.9999999999998934E-3</v>
      </c>
    </row>
    <row r="266" spans="1:28">
      <c r="A266" s="4">
        <v>44941</v>
      </c>
      <c r="B266">
        <f>YEAR(data[[#This Row],[Date]])</f>
        <v>2023</v>
      </c>
      <c r="C266" s="6">
        <f t="shared" ref="C266" si="88">IF(T264&gt;1.25, ROUNDDOWN((T264-1.25)/0.04, 0)+1, 0)/100</f>
        <v>1.01</v>
      </c>
      <c r="D266" s="7">
        <f t="shared" ref="D266" si="89">IF(T264&gt;2.5,ROUNDDOWN((T264-2.5)/0.04,0)+1,ROUNDUP((T264-2.5)/0.04,0)+1)/100</f>
        <v>0.69</v>
      </c>
      <c r="E266" s="7">
        <f t="shared" ref="E266" si="90">IF(T264&gt;3.25, ROUNDDOWN((T264-3.25)/0.04, 0)+1, 0)/100</f>
        <v>0.51</v>
      </c>
      <c r="F266" s="7">
        <f t="shared" si="29"/>
        <v>0.41</v>
      </c>
      <c r="G266" s="19">
        <v>0.77300000000000002</v>
      </c>
      <c r="H266" s="15">
        <f>AVERAGE(0.585,0.51)</f>
        <v>0.54749999999999999</v>
      </c>
      <c r="I266" s="7">
        <f t="shared" si="77"/>
        <v>0.82</v>
      </c>
      <c r="J266" s="7">
        <f t="shared" si="78"/>
        <v>0.38</v>
      </c>
      <c r="K266" s="7">
        <v>0.78</v>
      </c>
      <c r="L266" s="7">
        <v>0</v>
      </c>
      <c r="M266" s="7">
        <v>0.64</v>
      </c>
      <c r="N26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0.46435714285714286</v>
      </c>
      <c r="O26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0.47272277853203226</v>
      </c>
      <c r="P266" s="33">
        <f>IF(data[[#This Row],[Weighted_Avg]]&lt;&gt;"", IFERROR(AVERAGE(O254,O242,O230), ""), "")</f>
        <v>9.2852506433197646E-2</v>
      </c>
      <c r="Q266" s="14" t="b">
        <f>IF(data[[#This Row],[Date]]&gt;MAX(data[Date])-750, TRUE, FALSE)</f>
        <v>0</v>
      </c>
      <c r="R266" s="34">
        <f t="shared" si="79"/>
        <v>0.58999999999999719</v>
      </c>
      <c r="S266" s="3">
        <v>0.33</v>
      </c>
      <c r="T266">
        <v>4.5759999999999996</v>
      </c>
      <c r="V266" s="47">
        <v>20.488</v>
      </c>
      <c r="W266">
        <v>1.2</v>
      </c>
      <c r="X266" s="47">
        <f t="shared" si="80"/>
        <v>22.109000000000034</v>
      </c>
      <c r="Y266" s="47">
        <f t="shared" si="81"/>
        <v>22.257000000000033</v>
      </c>
      <c r="Z266">
        <f t="shared" si="82"/>
        <v>0.64499999999999602</v>
      </c>
      <c r="AA266" s="47">
        <f t="shared" si="83"/>
        <v>0.14799999999999969</v>
      </c>
      <c r="AB266">
        <f t="shared" si="84"/>
        <v>4.9999999999998934E-3</v>
      </c>
    </row>
    <row r="267" spans="1:28">
      <c r="A267" s="4">
        <v>44972</v>
      </c>
      <c r="B267">
        <f>YEAR(data[[#This Row],[Date]])</f>
        <v>2023</v>
      </c>
      <c r="C267" s="6">
        <f t="shared" ref="C267:C270" si="91">IF(T265&gt;1.25, ROUNDDOWN((T265-1.25)/0.04, 0)+1, 0)/100</f>
        <v>0.87</v>
      </c>
      <c r="D267" s="7">
        <f t="shared" ref="D267:D270" si="92">IF(T265&gt;2.5,ROUNDDOWN((T265-2.5)/0.04,0)+1,ROUNDUP((T265-2.5)/0.04,0)+1)/100</f>
        <v>0.56000000000000005</v>
      </c>
      <c r="E267" s="7">
        <f t="shared" ref="E267:E270" si="93">IF(T265&gt;3.25, ROUNDDOWN((T265-3.25)/0.04, 0)+1, 0)/100</f>
        <v>0.37</v>
      </c>
      <c r="F267" s="7">
        <f t="shared" si="29"/>
        <v>0.3</v>
      </c>
      <c r="G267" s="19">
        <v>0.63</v>
      </c>
      <c r="H267" s="15">
        <f>AVERAGE(0.488,0.485)</f>
        <v>0.48649999999999999</v>
      </c>
      <c r="I267" s="7">
        <f t="shared" si="77"/>
        <v>0.68</v>
      </c>
      <c r="J267" s="7">
        <f t="shared" si="78"/>
        <v>0.25</v>
      </c>
      <c r="K267" s="7">
        <v>0.65</v>
      </c>
      <c r="L267" s="7">
        <v>0</v>
      </c>
      <c r="M267" s="7">
        <v>0.53</v>
      </c>
      <c r="N26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0.38092857142857145</v>
      </c>
      <c r="O26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0.37164152015273655</v>
      </c>
      <c r="P267" s="33">
        <f>IF(data[[#This Row],[Weighted_Avg]]&lt;&gt;"", IFERROR(AVERAGE(O255,O243,O231), ""), "")</f>
        <v>9.1663454962122637E-2</v>
      </c>
      <c r="Q267" s="14" t="b">
        <f>IF(data[[#This Row],[Date]]&gt;MAX(data[Date])-750, TRUE, FALSE)</f>
        <v>0</v>
      </c>
      <c r="R267" s="34">
        <f t="shared" si="79"/>
        <v>0.56999999999999762</v>
      </c>
      <c r="S267" s="3">
        <v>0.33</v>
      </c>
      <c r="T267">
        <v>4.4130000000000003</v>
      </c>
      <c r="V267" s="47">
        <v>20.010000000000002</v>
      </c>
      <c r="W267">
        <v>1.1499999999999999</v>
      </c>
      <c r="X267" s="47">
        <f t="shared" si="80"/>
        <v>22.258000000000035</v>
      </c>
      <c r="Y267" s="47">
        <f t="shared" si="81"/>
        <v>22.406000000000034</v>
      </c>
      <c r="Z267">
        <f t="shared" si="82"/>
        <v>0.64999999999999591</v>
      </c>
      <c r="AA267" s="47">
        <f t="shared" si="83"/>
        <v>0.14799999999999969</v>
      </c>
      <c r="AB267">
        <f t="shared" si="84"/>
        <v>4.9999999999998934E-3</v>
      </c>
    </row>
    <row r="268" spans="1:28">
      <c r="A268" s="4">
        <v>45000</v>
      </c>
      <c r="B268">
        <f>YEAR(data[[#This Row],[Date]])</f>
        <v>2023</v>
      </c>
      <c r="C268" s="6">
        <f t="shared" si="91"/>
        <v>0.84</v>
      </c>
      <c r="D268" s="7">
        <f t="shared" si="92"/>
        <v>0.52</v>
      </c>
      <c r="E268" s="7">
        <f t="shared" si="93"/>
        <v>0.34</v>
      </c>
      <c r="F268" s="7">
        <f t="shared" si="29"/>
        <v>0.27</v>
      </c>
      <c r="G268" s="19">
        <v>0.59750000000000003</v>
      </c>
      <c r="H268" s="15">
        <f>AVERAGE(0.49,0.455)</f>
        <v>0.47250000000000003</v>
      </c>
      <c r="I268" s="7">
        <f t="shared" si="77"/>
        <v>0.65</v>
      </c>
      <c r="J268" s="7">
        <f t="shared" si="78"/>
        <v>0.21</v>
      </c>
      <c r="K268" s="7">
        <v>0.61</v>
      </c>
      <c r="L268" s="7">
        <v>0</v>
      </c>
      <c r="M268" s="7">
        <v>0.5</v>
      </c>
      <c r="N26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0.36</v>
      </c>
      <c r="O26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0.34786276834959695</v>
      </c>
      <c r="P268" s="33">
        <f>IF(data[[#This Row],[Weighted_Avg]]&lt;&gt;"", IFERROR(AVERAGE(O256,O244,O232), ""), "")</f>
        <v>0.10007186924656898</v>
      </c>
      <c r="Q268" s="14" t="b">
        <f>IF(data[[#This Row],[Date]]&gt;MAX(data[Date])-750, TRUE, FALSE)</f>
        <v>0</v>
      </c>
      <c r="R268" s="34">
        <f t="shared" si="79"/>
        <v>0.5849999999999973</v>
      </c>
      <c r="S268" s="3">
        <v>0.315</v>
      </c>
      <c r="T268">
        <v>4.2110000000000003</v>
      </c>
      <c r="V268" s="47">
        <v>20.388999999999999</v>
      </c>
      <c r="W268">
        <v>1.21</v>
      </c>
      <c r="X268" s="47">
        <f t="shared" si="80"/>
        <v>22.407000000000036</v>
      </c>
      <c r="Y268" s="47">
        <f t="shared" si="81"/>
        <v>22.555000000000035</v>
      </c>
      <c r="Z268">
        <f t="shared" si="82"/>
        <v>0.65499999999999581</v>
      </c>
      <c r="AA268" s="47">
        <f t="shared" si="83"/>
        <v>0.14799999999999969</v>
      </c>
      <c r="AB268">
        <f t="shared" si="84"/>
        <v>4.9999999999998934E-3</v>
      </c>
    </row>
    <row r="269" spans="1:28">
      <c r="A269" s="4">
        <v>45031</v>
      </c>
      <c r="B269">
        <f>YEAR(data[[#This Row],[Date]])</f>
        <v>2023</v>
      </c>
      <c r="C269" s="6">
        <f t="shared" si="91"/>
        <v>0.8</v>
      </c>
      <c r="D269" s="7">
        <f t="shared" si="92"/>
        <v>0.48</v>
      </c>
      <c r="E269" s="7">
        <f t="shared" si="93"/>
        <v>0.3</v>
      </c>
      <c r="F269" s="7">
        <f t="shared" si="29"/>
        <v>0.24</v>
      </c>
      <c r="G269" s="19">
        <v>0.55200000000000005</v>
      </c>
      <c r="H269" s="15">
        <f>AVERAGE(0.425,0.41)</f>
        <v>0.41749999999999998</v>
      </c>
      <c r="I269" s="7">
        <f t="shared" si="77"/>
        <v>0.61</v>
      </c>
      <c r="J269" s="7">
        <f t="shared" si="78"/>
        <v>0.17</v>
      </c>
      <c r="K269" s="7">
        <v>0.56999999999999995</v>
      </c>
      <c r="L269" s="7">
        <v>0</v>
      </c>
      <c r="M269" s="7">
        <v>0.47</v>
      </c>
      <c r="N26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0.3299285714285714</v>
      </c>
      <c r="O26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0.31623736147645309</v>
      </c>
      <c r="P269" s="33">
        <f>IF(data[[#This Row],[Weighted_Avg]]&lt;&gt;"", IFERROR(AVERAGE(O257,O245,O233), ""), "")</f>
        <v>0.12538545745008475</v>
      </c>
      <c r="Q269" s="14" t="b">
        <f>IF(data[[#This Row],[Date]]&gt;MAX(data[Date])-750, TRUE, FALSE)</f>
        <v>0</v>
      </c>
      <c r="R269" s="34">
        <f t="shared" si="79"/>
        <v>0.55499999999999794</v>
      </c>
      <c r="S269" s="3">
        <v>0.31</v>
      </c>
      <c r="T269">
        <v>4.0990000000000002</v>
      </c>
      <c r="V269" s="47">
        <v>19.486000000000001</v>
      </c>
      <c r="W269">
        <v>1.17</v>
      </c>
      <c r="X269" s="47">
        <f t="shared" si="80"/>
        <v>22.556000000000036</v>
      </c>
      <c r="Y269" s="47">
        <f t="shared" si="81"/>
        <v>22.704000000000036</v>
      </c>
      <c r="Z269">
        <f t="shared" si="82"/>
        <v>0.6599999999999957</v>
      </c>
      <c r="AA269" s="47">
        <f t="shared" si="83"/>
        <v>0.14799999999999969</v>
      </c>
      <c r="AB269">
        <f t="shared" si="84"/>
        <v>4.9999999999998934E-3</v>
      </c>
    </row>
    <row r="270" spans="1:28">
      <c r="A270" s="4">
        <v>45061</v>
      </c>
      <c r="B270">
        <f>YEAR(data[[#This Row],[Date]])</f>
        <v>2023</v>
      </c>
      <c r="C270" s="6">
        <f t="shared" si="91"/>
        <v>0.75</v>
      </c>
      <c r="D270" s="7">
        <f t="shared" si="92"/>
        <v>0.43</v>
      </c>
      <c r="E270" s="7">
        <f t="shared" si="93"/>
        <v>0.25</v>
      </c>
      <c r="F270" s="7">
        <f t="shared" si="29"/>
        <v>0.2</v>
      </c>
      <c r="G270" s="19">
        <v>0.5</v>
      </c>
      <c r="H270" s="15">
        <f>AVERAGE(0.385,0.39)</f>
        <v>0.38750000000000001</v>
      </c>
      <c r="I270" s="7">
        <f t="shared" si="77"/>
        <v>0.56000000000000005</v>
      </c>
      <c r="J270" s="7">
        <f t="shared" si="78"/>
        <v>0.12</v>
      </c>
      <c r="K270" s="7">
        <v>0.52</v>
      </c>
      <c r="L270" s="7">
        <v>0</v>
      </c>
      <c r="M270" s="7">
        <v>0.43</v>
      </c>
      <c r="N27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0.29821428571428571</v>
      </c>
      <c r="O27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0.27919250954603309</v>
      </c>
      <c r="P270" s="33">
        <f>IF(data[[#This Row],[Weighted_Avg]]&lt;&gt;"", IFERROR(AVERAGE(O258,O246,O234), ""), "")</f>
        <v>0.19342704739648156</v>
      </c>
      <c r="Q270" s="14" t="b">
        <f>IF(data[[#This Row],[Date]]&gt;MAX(data[Date])-750, TRUE, FALSE)</f>
        <v>0</v>
      </c>
      <c r="R270" s="34">
        <f t="shared" si="79"/>
        <v>0.56999999999999762</v>
      </c>
      <c r="S270" s="3">
        <v>0.315</v>
      </c>
      <c r="T270">
        <v>3.915</v>
      </c>
      <c r="V270" s="47">
        <v>19.948</v>
      </c>
      <c r="W270">
        <v>1.22</v>
      </c>
      <c r="X270" s="47">
        <f t="shared" ref="X270:X274" si="94">Y269+0.001</f>
        <v>22.705000000000037</v>
      </c>
      <c r="Y270" s="47">
        <f t="shared" ref="Y270:Y274" si="95">X270+AA269</f>
        <v>22.853000000000037</v>
      </c>
      <c r="Z270">
        <f t="shared" ref="Z270:Z274" si="96">Z269+AB269</f>
        <v>0.66499999999999559</v>
      </c>
      <c r="AA270" s="47">
        <f t="shared" ref="AA270:AA274" si="97">Y270-X270</f>
        <v>0.14799999999999969</v>
      </c>
      <c r="AB270">
        <f t="shared" ref="AB270:AB274" si="98">Z270-Z269</f>
        <v>4.9999999999998934E-3</v>
      </c>
    </row>
    <row r="271" spans="1:28">
      <c r="A271" s="4">
        <v>45092</v>
      </c>
      <c r="B271">
        <f>YEAR(data[[#This Row],[Date]])</f>
        <v>2023</v>
      </c>
      <c r="C271" s="6">
        <f>IF(T269&gt;1.25, ROUNDDOWN((T269-1.25)/0.04, 0)+1, 0)/100</f>
        <v>0.72</v>
      </c>
      <c r="D271" s="7">
        <f>IF(T269&gt;2.5,ROUNDDOWN((T269-2.5)/0.04,0)+1,ROUNDUP((T269-2.5)/0.04,0)+1)/100</f>
        <v>0.4</v>
      </c>
      <c r="E271" s="7">
        <f>IF(T269&gt;3.25, ROUNDDOWN((T269-3.25)/0.04, 0)+1, 0)/100</f>
        <v>0.22</v>
      </c>
      <c r="F271" s="7">
        <f t="shared" si="29"/>
        <v>0.17</v>
      </c>
      <c r="G271" s="19">
        <v>0.46750000000000003</v>
      </c>
      <c r="H271" s="15">
        <f>AVERAGE(0.36,0.345)</f>
        <v>0.35249999999999998</v>
      </c>
      <c r="I271" s="7">
        <f t="shared" si="77"/>
        <v>0.53</v>
      </c>
      <c r="J271" s="7">
        <f t="shared" si="78"/>
        <v>0.09</v>
      </c>
      <c r="K271" s="7">
        <v>0.49</v>
      </c>
      <c r="L271" s="7">
        <v>0</v>
      </c>
      <c r="M271" s="7">
        <v>0.4</v>
      </c>
      <c r="N27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0.27571428571428575</v>
      </c>
      <c r="O27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0.2542729338141706</v>
      </c>
      <c r="P271" s="33">
        <f>IF(data[[#This Row],[Weighted_Avg]]&lt;&gt;"", IFERROR(AVERAGE(O259,O247,O235), ""), "")</f>
        <v>0.18948808330056799</v>
      </c>
      <c r="Q271" s="14" t="b">
        <f>IF(data[[#This Row],[Date]]&gt;MAX(data[Date])-750, TRUE, FALSE)</f>
        <v>0</v>
      </c>
      <c r="R271" s="34">
        <f t="shared" si="79"/>
        <v>0.56999999999999762</v>
      </c>
      <c r="S271" s="3">
        <v>0.32</v>
      </c>
      <c r="T271">
        <v>3.802</v>
      </c>
      <c r="V271" s="47">
        <v>19.960999999999999</v>
      </c>
      <c r="W271">
        <v>1.25</v>
      </c>
      <c r="X271" s="47">
        <f t="shared" si="94"/>
        <v>22.854000000000038</v>
      </c>
      <c r="Y271" s="47">
        <f t="shared" si="95"/>
        <v>23.002000000000038</v>
      </c>
      <c r="Z271">
        <f t="shared" si="96"/>
        <v>0.66999999999999549</v>
      </c>
      <c r="AA271" s="47">
        <f t="shared" si="97"/>
        <v>0.14799999999999969</v>
      </c>
      <c r="AB271">
        <f t="shared" si="98"/>
        <v>4.9999999999998934E-3</v>
      </c>
    </row>
    <row r="272" spans="1:28">
      <c r="A272" s="4">
        <v>45122</v>
      </c>
      <c r="B272">
        <f>YEAR(data[[#This Row],[Date]])</f>
        <v>2023</v>
      </c>
      <c r="C272" s="6">
        <f t="shared" ref="C272:C273" si="99">IF(T270&gt;1.25, ROUNDDOWN((T270-1.25)/0.04, 0)+1, 0)/100</f>
        <v>0.67</v>
      </c>
      <c r="D272" s="7">
        <f t="shared" ref="D272:D273" si="100">IF(T270&gt;2.5,ROUNDDOWN((T270-2.5)/0.04,0)+1,ROUNDUP((T270-2.5)/0.04,0)+1)/100</f>
        <v>0.36</v>
      </c>
      <c r="E272" s="7">
        <f t="shared" ref="E272:E273" si="101">IF(T270&gt;3.25, ROUNDDOWN((T270-3.25)/0.04, 0)+1, 0)/100</f>
        <v>0.17</v>
      </c>
      <c r="F272" s="7">
        <f t="shared" si="29"/>
        <v>0.14000000000000001</v>
      </c>
      <c r="G272" s="19">
        <v>0.42199999999999999</v>
      </c>
      <c r="H272" s="15">
        <f>AVERAGE(0.33,0.325)</f>
        <v>0.32750000000000001</v>
      </c>
      <c r="I272" s="7">
        <f t="shared" si="77"/>
        <v>0.48</v>
      </c>
      <c r="J272" s="7">
        <f t="shared" si="78"/>
        <v>0.05</v>
      </c>
      <c r="K272" s="7">
        <v>0.45</v>
      </c>
      <c r="L272" s="7">
        <v>0</v>
      </c>
      <c r="M272" s="7">
        <f>0.37</f>
        <v>0.37</v>
      </c>
      <c r="N27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0.2485</v>
      </c>
      <c r="O27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0.22064620322443784</v>
      </c>
      <c r="P272" s="33">
        <f>IF(data[[#This Row],[Weighted_Avg]]&lt;&gt;"", IFERROR(AVERAGE(O260,O248,O236), ""), "")</f>
        <v>0.21815441012140768</v>
      </c>
      <c r="Q272" s="14" t="b">
        <f>IF(data[[#This Row],[Date]]&gt;MAX(data[Date])-750, TRUE, FALSE)</f>
        <v>0</v>
      </c>
      <c r="R272" s="34">
        <f t="shared" si="79"/>
        <v>0.57999999999999741</v>
      </c>
      <c r="S272" s="3">
        <v>0.32500000000000001</v>
      </c>
      <c r="T272">
        <v>3.8820000000000001</v>
      </c>
      <c r="V272" s="47">
        <v>20.204999999999998</v>
      </c>
      <c r="W272">
        <v>1.29</v>
      </c>
      <c r="X272" s="47">
        <f t="shared" si="94"/>
        <v>23.003000000000039</v>
      </c>
      <c r="Y272" s="47">
        <f t="shared" si="95"/>
        <v>23.151000000000039</v>
      </c>
      <c r="Z272">
        <f t="shared" si="96"/>
        <v>0.67499999999999538</v>
      </c>
      <c r="AA272" s="47">
        <f t="shared" si="97"/>
        <v>0.14799999999999969</v>
      </c>
      <c r="AB272">
        <f t="shared" si="98"/>
        <v>4.9999999999998934E-3</v>
      </c>
    </row>
    <row r="273" spans="1:28">
      <c r="A273" s="4">
        <v>45153</v>
      </c>
      <c r="B273">
        <f>YEAR(data[[#This Row],[Date]])</f>
        <v>2023</v>
      </c>
      <c r="C273" s="6">
        <f t="shared" si="99"/>
        <v>0.64</v>
      </c>
      <c r="D273" s="7">
        <f t="shared" si="100"/>
        <v>0.33</v>
      </c>
      <c r="E273" s="7">
        <f t="shared" si="101"/>
        <v>0.14000000000000001</v>
      </c>
      <c r="F273" s="7">
        <f t="shared" si="29"/>
        <v>0.12</v>
      </c>
      <c r="G273" s="19">
        <v>0.39600000000000002</v>
      </c>
      <c r="H273" s="15">
        <f>AVERAGE(0.325,0.335)</f>
        <v>0.33</v>
      </c>
      <c r="I273" s="7">
        <f t="shared" si="77"/>
        <v>0.46</v>
      </c>
      <c r="J273" s="7">
        <f t="shared" si="78"/>
        <v>0.02</v>
      </c>
      <c r="K273" s="7">
        <v>0.42</v>
      </c>
      <c r="L273" s="7">
        <v>0</v>
      </c>
      <c r="M273" s="7">
        <v>0.35</v>
      </c>
      <c r="N27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0.23371428571428574</v>
      </c>
      <c r="O27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0.20111590496393722</v>
      </c>
      <c r="P273" s="33">
        <f>IF(data[[#This Row],[Weighted_Avg]]&lt;&gt;"", IFERROR(AVERAGE(O261,O249,O237), ""), "")</f>
        <v>0.230082411925849</v>
      </c>
      <c r="Q273" s="14" t="b">
        <f>IF(data[[#This Row],[Date]]&gt;MAX(data[Date])-750, TRUE, FALSE)</f>
        <v>0</v>
      </c>
      <c r="R273" s="34">
        <f t="shared" si="79"/>
        <v>0.57999999999999741</v>
      </c>
      <c r="S273" s="3">
        <v>0.33</v>
      </c>
      <c r="T273">
        <v>4.37</v>
      </c>
      <c r="V273" s="47">
        <v>20.190000000000001</v>
      </c>
      <c r="W273">
        <v>1.32</v>
      </c>
      <c r="X273" s="47">
        <f t="shared" si="94"/>
        <v>23.15200000000004</v>
      </c>
      <c r="Y273" s="47">
        <f t="shared" si="95"/>
        <v>23.30000000000004</v>
      </c>
      <c r="Z273">
        <f t="shared" si="96"/>
        <v>0.67999999999999527</v>
      </c>
      <c r="AA273" s="47">
        <f t="shared" si="97"/>
        <v>0.14799999999999969</v>
      </c>
      <c r="AB273">
        <f t="shared" si="98"/>
        <v>4.9999999999998934E-3</v>
      </c>
    </row>
    <row r="274" spans="1:28">
      <c r="A274" s="4">
        <v>45184</v>
      </c>
      <c r="B274">
        <f>YEAR(data[[#This Row],[Date]])</f>
        <v>2023</v>
      </c>
      <c r="C274" s="6">
        <f t="shared" ref="C274:C275" si="102">IF(T272&gt;1.25, ROUNDDOWN((T272-1.25)/0.04, 0)+1, 0)/100</f>
        <v>0.66</v>
      </c>
      <c r="D274" s="7">
        <f t="shared" ref="D274:D275" si="103">IF(T272&gt;2.5,ROUNDDOWN((T272-2.5)/0.04,0)+1,ROUNDUP((T272-2.5)/0.04,0)+1)/100</f>
        <v>0.35</v>
      </c>
      <c r="E274" s="7">
        <f t="shared" ref="E274:E275" si="104">IF(T272&gt;3.25, ROUNDDOWN((T272-3.25)/0.04, 0)+1, 0)/100</f>
        <v>0.16</v>
      </c>
      <c r="F274" s="7">
        <f t="shared" si="29"/>
        <v>0.13</v>
      </c>
      <c r="G274" s="19">
        <v>0.41549999999999998</v>
      </c>
      <c r="H274" s="15">
        <f>AVERAGE(0.405,0.445)</f>
        <v>0.42500000000000004</v>
      </c>
      <c r="I274" s="7">
        <f t="shared" si="77"/>
        <v>0.48</v>
      </c>
      <c r="J274" s="7">
        <f t="shared" si="78"/>
        <v>0.04</v>
      </c>
      <c r="K274" s="7">
        <v>0.44</v>
      </c>
      <c r="L274" s="7">
        <v>0</v>
      </c>
      <c r="M274" s="7">
        <v>0.36</v>
      </c>
      <c r="N27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0.25721428571428573</v>
      </c>
      <c r="O27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0.22046146117946541</v>
      </c>
      <c r="P274" s="33">
        <f>IF(data[[#This Row],[Weighted_Avg]]&lt;&gt;"", IFERROR(AVERAGE(O262,O250,O238), ""), "")</f>
        <v>0.21180831450075813</v>
      </c>
      <c r="Q274" s="14" t="b">
        <f>IF(data[[#This Row],[Date]]&gt;MAX(data[Date])-750, TRUE, FALSE)</f>
        <v>0</v>
      </c>
      <c r="R274" s="34">
        <f t="shared" si="79"/>
        <v>0.5849999999999973</v>
      </c>
      <c r="S274" s="3">
        <v>0.33500000000000002</v>
      </c>
      <c r="T274">
        <v>4.5629999999999997</v>
      </c>
      <c r="V274" s="47">
        <v>20.413</v>
      </c>
      <c r="W274">
        <v>1.36</v>
      </c>
      <c r="X274" s="47">
        <f t="shared" si="94"/>
        <v>23.301000000000041</v>
      </c>
      <c r="Y274" s="47">
        <f t="shared" si="95"/>
        <v>23.449000000000041</v>
      </c>
      <c r="Z274">
        <f t="shared" si="96"/>
        <v>0.68499999999999517</v>
      </c>
      <c r="AA274" s="47">
        <f t="shared" si="97"/>
        <v>0.14799999999999969</v>
      </c>
      <c r="AB274">
        <f t="shared" si="98"/>
        <v>4.9999999999998934E-3</v>
      </c>
    </row>
    <row r="275" spans="1:28">
      <c r="A275" s="4">
        <v>45214</v>
      </c>
      <c r="B275">
        <f>YEAR(data[[#This Row],[Date]])</f>
        <v>2023</v>
      </c>
      <c r="C275" s="6">
        <f t="shared" si="102"/>
        <v>0.79</v>
      </c>
      <c r="D275" s="7">
        <f t="shared" si="103"/>
        <v>0.47</v>
      </c>
      <c r="E275" s="7">
        <f t="shared" si="104"/>
        <v>0.28999999999999998</v>
      </c>
      <c r="F275" s="7">
        <f t="shared" ref="F275:F295" si="105">IF(T273&gt;3.25, ROUNDDOWN((T273-3.25)/0.05, 0)+1, 0)/100</f>
        <v>0.23</v>
      </c>
      <c r="G275" s="19">
        <v>0.53900000000000003</v>
      </c>
      <c r="H275" s="15">
        <f>AVERAGE(0.47, 0.49)</f>
        <v>0.48</v>
      </c>
      <c r="I275" s="7">
        <f t="shared" si="77"/>
        <v>0.6</v>
      </c>
      <c r="J275" s="7">
        <f t="shared" si="78"/>
        <v>0.16</v>
      </c>
      <c r="K275" s="7">
        <v>0.56000000000000005</v>
      </c>
      <c r="L275" s="7">
        <v>0</v>
      </c>
      <c r="M275" s="7">
        <v>0.46</v>
      </c>
      <c r="N27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0.33271428571428574</v>
      </c>
      <c r="O27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0.31316605515485785</v>
      </c>
      <c r="P275" s="33">
        <f>IF(data[[#This Row],[Weighted_Avg]]&lt;&gt;"", IFERROR(AVERAGE(O263,O251,O239), ""), "")</f>
        <v>0.18663688158519509</v>
      </c>
      <c r="Q275" s="14" t="b">
        <f>IF(data[[#This Row],[Date]]&gt;MAX(data[Date])-750, TRUE, FALSE)</f>
        <v>0</v>
      </c>
      <c r="R275" s="34">
        <f t="shared" si="79"/>
        <v>0.59499999999999709</v>
      </c>
      <c r="S275" s="3">
        <v>0.33500000000000002</v>
      </c>
      <c r="T275">
        <v>4.5069999999999997</v>
      </c>
      <c r="V275" s="47">
        <v>20.66</v>
      </c>
      <c r="W275">
        <v>1.38</v>
      </c>
    </row>
    <row r="276" spans="1:28">
      <c r="A276" s="4">
        <v>45245</v>
      </c>
      <c r="B276">
        <f>YEAR(data[[#This Row],[Date]])</f>
        <v>2023</v>
      </c>
      <c r="C276" s="6">
        <f t="shared" ref="C276:C279" si="106">IF(T274&gt;1.25, ROUNDDOWN((T274-1.25)/0.04, 0)+1, 0)/100</f>
        <v>0.83</v>
      </c>
      <c r="D276" s="7">
        <f t="shared" ref="D276:D279" si="107">IF(T274&gt;2.5,ROUNDDOWN((T274-2.5)/0.04,0)+1,ROUNDUP((T274-2.5)/0.04,0)+1)/100</f>
        <v>0.52</v>
      </c>
      <c r="E276" s="7">
        <f t="shared" ref="E276:E279" si="108">IF(T274&gt;3.25, ROUNDDOWN((T274-3.25)/0.04, 0)+1, 0)/100</f>
        <v>0.33</v>
      </c>
      <c r="F276" s="7">
        <f t="shared" si="105"/>
        <v>0.27</v>
      </c>
      <c r="G276" s="19">
        <v>0.59099999999999997</v>
      </c>
      <c r="H276" s="15">
        <f>AVERAGE(0.48,0.47)</f>
        <v>0.47499999999999998</v>
      </c>
      <c r="I276" s="7">
        <f t="shared" si="77"/>
        <v>0.65</v>
      </c>
      <c r="J276" s="7">
        <f t="shared" si="78"/>
        <v>0.21</v>
      </c>
      <c r="K276" s="7">
        <v>0.61</v>
      </c>
      <c r="L276" s="7">
        <v>0</v>
      </c>
      <c r="M276" s="7">
        <v>0.5</v>
      </c>
      <c r="N27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0.35799999999999998</v>
      </c>
      <c r="O27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0.34351640135765804</v>
      </c>
      <c r="P276" s="33">
        <f>IF(data[[#This Row],[Weighted_Avg]]&lt;&gt;"", IFERROR(AVERAGE(O264,O252,O240), ""), "")</f>
        <v>0.18665133014558977</v>
      </c>
      <c r="Q276" s="14" t="b">
        <f>IF(data[[#This Row],[Date]]&gt;MAX(data[Date])-750, TRUE, FALSE)</f>
        <v>0</v>
      </c>
      <c r="R276" s="34">
        <f t="shared" si="79"/>
        <v>0.58999999999999719</v>
      </c>
      <c r="S276" s="3">
        <v>0.33500000000000002</v>
      </c>
      <c r="T276">
        <v>4.2539999999999996</v>
      </c>
      <c r="V276" s="47">
        <v>20.562000000000001</v>
      </c>
      <c r="W276">
        <v>1.35</v>
      </c>
    </row>
    <row r="277" spans="1:28">
      <c r="A277" s="4">
        <v>45275</v>
      </c>
      <c r="B277">
        <f>YEAR(data[[#This Row],[Date]])</f>
        <v>2023</v>
      </c>
      <c r="C277" s="6">
        <f t="shared" si="106"/>
        <v>0.82</v>
      </c>
      <c r="D277" s="7">
        <f t="shared" si="107"/>
        <v>0.51</v>
      </c>
      <c r="E277" s="7">
        <f t="shared" si="108"/>
        <v>0.32</v>
      </c>
      <c r="F277" s="7">
        <f t="shared" si="105"/>
        <v>0.26</v>
      </c>
      <c r="G277" s="19">
        <v>0.57799999999999996</v>
      </c>
      <c r="H277" s="15">
        <f>AVERAGE(0.42,0.455)</f>
        <v>0.4375</v>
      </c>
      <c r="I277" s="7">
        <f t="shared" si="77"/>
        <v>0.63</v>
      </c>
      <c r="J277" s="7">
        <f t="shared" si="78"/>
        <v>0.19</v>
      </c>
      <c r="K277" s="7">
        <v>0.6</v>
      </c>
      <c r="L277" s="7">
        <v>0</v>
      </c>
      <c r="M277" s="7">
        <v>0.49</v>
      </c>
      <c r="N27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0.34649999999999992</v>
      </c>
      <c r="O27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0.33322481501909207</v>
      </c>
      <c r="P277" s="33">
        <f>IF(data[[#This Row],[Weighted_Avg]]&lt;&gt;"", IFERROR(AVERAGE(O265,O253,O241), ""), "")</f>
        <v>0.20834999038137159</v>
      </c>
      <c r="Q277" s="14" t="b">
        <f>IF(data[[#This Row],[Date]]&gt;MAX(data[Date])-750, TRUE, FALSE)</f>
        <v>0</v>
      </c>
      <c r="R277" s="34">
        <f t="shared" si="79"/>
        <v>0.57999999999999741</v>
      </c>
      <c r="S277" s="3">
        <v>0.33</v>
      </c>
      <c r="T277">
        <v>3.972</v>
      </c>
      <c r="V277" s="47">
        <v>20.315999999999999</v>
      </c>
      <c r="W277">
        <v>1.27</v>
      </c>
    </row>
    <row r="278" spans="1:28">
      <c r="A278" s="4">
        <v>45306</v>
      </c>
      <c r="B278">
        <f>YEAR(data[[#This Row],[Date]])</f>
        <v>2024</v>
      </c>
      <c r="C278" s="6">
        <f t="shared" si="106"/>
        <v>0.76</v>
      </c>
      <c r="D278" s="7">
        <f t="shared" si="107"/>
        <v>0.44</v>
      </c>
      <c r="E278" s="7">
        <f t="shared" si="108"/>
        <v>0.26</v>
      </c>
      <c r="F278" s="7">
        <f t="shared" si="105"/>
        <v>0.21</v>
      </c>
      <c r="G278" s="19">
        <v>0.51300000000000001</v>
      </c>
      <c r="H278" s="15">
        <f>AVERAGE(0.385,0.345)</f>
        <v>0.36499999999999999</v>
      </c>
      <c r="I278" s="7">
        <f t="shared" si="77"/>
        <v>0.56999999999999995</v>
      </c>
      <c r="J278" s="7">
        <f t="shared" si="78"/>
        <v>0.13</v>
      </c>
      <c r="K278" s="7">
        <v>0.53</v>
      </c>
      <c r="L278" s="7">
        <v>0</v>
      </c>
      <c r="M278" s="7">
        <v>0.44</v>
      </c>
      <c r="N27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0.30114285714285716</v>
      </c>
      <c r="O27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0.28152724751523556</v>
      </c>
      <c r="P278" s="33">
        <f>IF(data[[#This Row],[Weighted_Avg]]&lt;&gt;"", IFERROR(AVERAGE(O266,O254,O242), ""), "")</f>
        <v>0.22713498260873763</v>
      </c>
      <c r="Q278" s="14" t="b">
        <f>IF(data[[#This Row],[Date]]&gt;MAX(data[Date])-750, TRUE, FALSE)</f>
        <v>0</v>
      </c>
      <c r="R278" s="34">
        <f t="shared" si="79"/>
        <v>0.57499999999999751</v>
      </c>
      <c r="S278" s="3">
        <v>0.33</v>
      </c>
      <c r="T278">
        <v>3.8540000000000001</v>
      </c>
      <c r="V278" s="47">
        <v>20.027000000000001</v>
      </c>
      <c r="W278">
        <v>1.3</v>
      </c>
    </row>
    <row r="279" spans="1:28">
      <c r="A279" s="4">
        <v>45337</v>
      </c>
      <c r="B279">
        <f>YEAR(data[[#This Row],[Date]])</f>
        <v>2024</v>
      </c>
      <c r="C279" s="6">
        <f t="shared" si="106"/>
        <v>0.69</v>
      </c>
      <c r="D279" s="7">
        <f t="shared" si="107"/>
        <v>0.37</v>
      </c>
      <c r="E279" s="7">
        <f t="shared" si="108"/>
        <v>0.19</v>
      </c>
      <c r="F279" s="7">
        <f t="shared" si="105"/>
        <v>0.15</v>
      </c>
      <c r="G279" s="19">
        <v>0.435</v>
      </c>
      <c r="H279" s="15">
        <f>AVERAGE(0.335, 0.335)</f>
        <v>0.33500000000000002</v>
      </c>
      <c r="I279" s="7">
        <f t="shared" si="77"/>
        <v>0.5</v>
      </c>
      <c r="J279" s="7">
        <f t="shared" si="78"/>
        <v>0.06</v>
      </c>
      <c r="K279" s="7">
        <v>0.46</v>
      </c>
      <c r="L279" s="7">
        <v>0</v>
      </c>
      <c r="M279" s="7">
        <v>0.38</v>
      </c>
      <c r="N27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0.25714285714285712</v>
      </c>
      <c r="O27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0.22919252147947383</v>
      </c>
      <c r="P279" s="33">
        <f>IF(data[[#This Row],[Weighted_Avg]]&lt;&gt;"", IFERROR(AVERAGE(O267,O255,O243), ""), "")</f>
        <v>0.19227714646969063</v>
      </c>
      <c r="Q279" s="14" t="b">
        <f>IF(data[[#This Row],[Date]]&gt;MAX(data[Date])-750, TRUE, FALSE)</f>
        <v>0</v>
      </c>
      <c r="R279" s="34">
        <f t="shared" si="79"/>
        <v>0.57999999999999741</v>
      </c>
      <c r="S279" s="3">
        <v>0.33500000000000002</v>
      </c>
      <c r="T279">
        <v>4.0439999999999996</v>
      </c>
      <c r="V279" s="47">
        <v>20.251999999999999</v>
      </c>
      <c r="W279">
        <v>1.33</v>
      </c>
    </row>
    <row r="280" spans="1:28">
      <c r="A280" s="4">
        <v>45366</v>
      </c>
      <c r="B280">
        <f>YEAR(data[[#This Row],[Date]])</f>
        <v>2024</v>
      </c>
      <c r="C280" s="6">
        <f t="shared" ref="C280:C282" si="109">IF(T278&gt;1.25, ROUNDDOWN((T278-1.25)/0.04, 0)+1, 0)/100</f>
        <v>0.66</v>
      </c>
      <c r="D280" s="7">
        <f t="shared" ref="D280:D282" si="110">IF(T278&gt;2.5,ROUNDDOWN((T278-2.5)/0.04,0)+1,ROUNDUP((T278-2.5)/0.04,0)+1)/100</f>
        <v>0.34</v>
      </c>
      <c r="E280" s="7">
        <f t="shared" ref="E280:E282" si="111">IF(T278&gt;3.25, ROUNDDOWN((T278-3.25)/0.04, 0)+1, 0)/100</f>
        <v>0.16</v>
      </c>
      <c r="F280" s="7">
        <f t="shared" si="105"/>
        <v>0.13</v>
      </c>
      <c r="G280" s="19">
        <v>0.40899999999999997</v>
      </c>
      <c r="H280" s="15">
        <f>AVERAGE(0.345,0.39)</f>
        <v>0.36749999999999999</v>
      </c>
      <c r="I280" s="7">
        <f t="shared" si="77"/>
        <v>0.47</v>
      </c>
      <c r="J280" s="7">
        <f t="shared" si="78"/>
        <v>0.03</v>
      </c>
      <c r="K280" s="7">
        <v>0.43</v>
      </c>
      <c r="L280" s="7">
        <v>0</v>
      </c>
      <c r="M280" s="7">
        <v>0.36</v>
      </c>
      <c r="N28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0.24664285714285711</v>
      </c>
      <c r="O28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0.21185362285156017</v>
      </c>
      <c r="P280" s="33">
        <f>IF(data[[#This Row],[Weighted_Avg]]&lt;&gt;"", IFERROR(AVERAGE(O268,O256,O244), ""), "")</f>
        <v>0.19423489918535849</v>
      </c>
      <c r="Q280" s="14" t="b">
        <f>IF(data[[#This Row],[Date]]&gt;MAX(data[Date])-750, TRUE, FALSE)</f>
        <v>0</v>
      </c>
      <c r="R280" s="34">
        <f t="shared" si="79"/>
        <v>0.60499999999999687</v>
      </c>
      <c r="S280" s="3">
        <v>0.34499999999999997</v>
      </c>
      <c r="T280">
        <v>4.0220000000000002</v>
      </c>
      <c r="V280" s="47">
        <v>21.001000000000001</v>
      </c>
      <c r="W280">
        <v>1.4</v>
      </c>
    </row>
    <row r="281" spans="1:28">
      <c r="A281" s="4">
        <v>45397</v>
      </c>
      <c r="B281">
        <f>YEAR(data[[#This Row],[Date]])</f>
        <v>2024</v>
      </c>
      <c r="C281" s="6">
        <f t="shared" si="109"/>
        <v>0.7</v>
      </c>
      <c r="D281" s="7">
        <f t="shared" si="110"/>
        <v>0.39</v>
      </c>
      <c r="E281" s="7">
        <f t="shared" si="111"/>
        <v>0.2</v>
      </c>
      <c r="F281" s="7">
        <f t="shared" si="105"/>
        <v>0.16</v>
      </c>
      <c r="G281" s="19">
        <v>0.45450000000000002</v>
      </c>
      <c r="H281" s="15">
        <f>AVERAGE(0.375, 0.375)</f>
        <v>0.375</v>
      </c>
      <c r="I281" s="7">
        <f t="shared" si="77"/>
        <v>0.52</v>
      </c>
      <c r="J281" s="7">
        <f t="shared" si="78"/>
        <v>0.08</v>
      </c>
      <c r="K281" s="7">
        <v>0.48</v>
      </c>
      <c r="L281" s="7">
        <v>0</v>
      </c>
      <c r="M281" s="7">
        <v>0.39</v>
      </c>
      <c r="N28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0.27135714285714291</v>
      </c>
      <c r="O28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0.24046879734643309</v>
      </c>
      <c r="P281" s="33">
        <f>IF(data[[#This Row],[Weighted_Avg]]&lt;&gt;"", IFERROR(AVERAGE(O269,O257,O245), ""), "")</f>
        <v>0.21193085406127535</v>
      </c>
      <c r="Q281" s="14" t="b">
        <f>IF(data[[#This Row],[Date]]&gt;MAX(data[Date])-750, TRUE, FALSE)</f>
        <v>0</v>
      </c>
      <c r="R281" s="34">
        <f t="shared" si="79"/>
        <v>0.60499999999999687</v>
      </c>
      <c r="S281" s="3">
        <v>0.34499999999999997</v>
      </c>
      <c r="T281">
        <v>4.0019999999999998</v>
      </c>
      <c r="V281" s="47">
        <v>20.927</v>
      </c>
      <c r="W281">
        <v>1.4</v>
      </c>
    </row>
    <row r="282" spans="1:28">
      <c r="A282" s="4">
        <v>45427</v>
      </c>
      <c r="B282">
        <f>YEAR(data[[#This Row],[Date]])</f>
        <v>2024</v>
      </c>
      <c r="C282" s="6">
        <f t="shared" si="109"/>
        <v>0.7</v>
      </c>
      <c r="D282" s="7">
        <f t="shared" si="110"/>
        <v>0.39</v>
      </c>
      <c r="E282" s="7">
        <f t="shared" si="111"/>
        <v>0.2</v>
      </c>
      <c r="F282" s="7">
        <f t="shared" si="105"/>
        <v>0.16</v>
      </c>
      <c r="G282" s="19">
        <v>0.44800000000000001</v>
      </c>
      <c r="H282" s="15">
        <f>AVERAGE(0.375,0.37)</f>
        <v>0.3725</v>
      </c>
      <c r="I282" s="7">
        <f t="shared" si="77"/>
        <v>0.51</v>
      </c>
      <c r="J282" s="7">
        <f t="shared" si="78"/>
        <v>7.0000000000000007E-2</v>
      </c>
      <c r="K282" s="7">
        <v>0.48</v>
      </c>
      <c r="L282" s="7">
        <v>0</v>
      </c>
      <c r="M282" s="7">
        <v>0.39</v>
      </c>
      <c r="N28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0.27007142857142857</v>
      </c>
      <c r="O28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0.23997682147120117</v>
      </c>
      <c r="P282" s="33">
        <f>IF(data[[#This Row],[Weighted_Avg]]&lt;&gt;"", IFERROR(AVERAGE(O270,O258,O246), ""), "")</f>
        <v>0.27268493449503578</v>
      </c>
      <c r="Q282" s="14" t="b">
        <f>IF(data[[#This Row],[Date]]&gt;MAX(data[Date])-750, TRUE, FALSE)</f>
        <v>0</v>
      </c>
      <c r="R282" s="34">
        <f t="shared" si="79"/>
        <v>0.59999999999999698</v>
      </c>
      <c r="S282" s="3">
        <v>0.34499999999999997</v>
      </c>
      <c r="T282">
        <v>3.8220000000000001</v>
      </c>
      <c r="V282" s="47">
        <v>20.893999999999998</v>
      </c>
      <c r="W282">
        <v>1.41</v>
      </c>
    </row>
    <row r="283" spans="1:28">
      <c r="A283" s="4">
        <v>45458</v>
      </c>
      <c r="B283">
        <f>YEAR(data[[#This Row],[Date]])</f>
        <v>2024</v>
      </c>
      <c r="C283" s="6">
        <f t="shared" ref="C283:C286" si="112">IF(T281&gt;1.25, ROUNDDOWN((T281-1.25)/0.04, 0)+1, 0)/100</f>
        <v>0.69</v>
      </c>
      <c r="D283" s="7">
        <f t="shared" ref="D283:D286" si="113">IF(T281&gt;2.5,ROUNDDOWN((T281-2.5)/0.04,0)+1,ROUNDUP((T281-2.5)/0.04,0)+1)/100</f>
        <v>0.38</v>
      </c>
      <c r="E283" s="7">
        <f t="shared" ref="E283:E286" si="114">IF(T281&gt;3.25, ROUNDDOWN((T281-3.25)/0.04, 0)+1, 0)/100</f>
        <v>0.19</v>
      </c>
      <c r="F283" s="7">
        <f t="shared" si="105"/>
        <v>0.16</v>
      </c>
      <c r="G283" s="19">
        <v>0.44800000000000001</v>
      </c>
      <c r="H283" s="15">
        <f>AVERAGE(0.35,0.33)</f>
        <v>0.33999999999999997</v>
      </c>
      <c r="I283" s="7">
        <f t="shared" si="77"/>
        <v>0.51</v>
      </c>
      <c r="J283" s="7">
        <f t="shared" si="78"/>
        <v>7.0000000000000007E-2</v>
      </c>
      <c r="K283" s="7">
        <v>0.47</v>
      </c>
      <c r="L283" s="7">
        <v>0</v>
      </c>
      <c r="M283" s="7">
        <v>0.39</v>
      </c>
      <c r="N28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0.26257142857142857</v>
      </c>
      <c r="O28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0.23273134289552369</v>
      </c>
      <c r="P283" s="33">
        <f>IF(data[[#This Row],[Weighted_Avg]]&lt;&gt;"", IFERROR(AVERAGE(O271,O259,O247), ""), "")</f>
        <v>0.26611257157748885</v>
      </c>
      <c r="Q283" s="14" t="b">
        <f>IF(data[[#This Row],[Date]]&gt;MAX(data[Date])-750, TRUE, FALSE)</f>
        <v>0</v>
      </c>
      <c r="R283" s="34">
        <f t="shared" si="79"/>
        <v>0.60499999999999687</v>
      </c>
      <c r="S283" s="3">
        <v>0.34499999999999997</v>
      </c>
      <c r="T283">
        <v>3.722</v>
      </c>
      <c r="V283" s="47">
        <v>21.056999999999999</v>
      </c>
      <c r="W283">
        <v>1.43</v>
      </c>
    </row>
    <row r="284" spans="1:28">
      <c r="A284" s="4">
        <v>45488</v>
      </c>
      <c r="B284">
        <f>YEAR(data[[#This Row],[Date]])</f>
        <v>2024</v>
      </c>
      <c r="C284" s="6">
        <f t="shared" si="112"/>
        <v>0.65</v>
      </c>
      <c r="D284" s="7">
        <f t="shared" si="113"/>
        <v>0.34</v>
      </c>
      <c r="E284" s="7">
        <f t="shared" si="114"/>
        <v>0.15</v>
      </c>
      <c r="F284" s="7">
        <f t="shared" si="105"/>
        <v>0.12</v>
      </c>
      <c r="G284" s="19">
        <v>0.39600000000000002</v>
      </c>
      <c r="H284" s="15">
        <f>AVERAGE(0.31,0.315)</f>
        <v>0.3125</v>
      </c>
      <c r="I284" s="7">
        <f t="shared" si="77"/>
        <v>0.46</v>
      </c>
      <c r="J284" s="7">
        <f t="shared" si="78"/>
        <v>0.02</v>
      </c>
      <c r="K284" s="7">
        <v>0.43</v>
      </c>
      <c r="L284" s="7">
        <v>0</v>
      </c>
      <c r="M284" s="7">
        <v>0.35</v>
      </c>
      <c r="N28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0.23407142857142857</v>
      </c>
      <c r="O28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0.20042805863374394</v>
      </c>
      <c r="P284" s="33">
        <f>IF(data[[#This Row],[Weighted_Avg]]&lt;&gt;"", IFERROR(AVERAGE(O272,O260,O248), ""), "")</f>
        <v>0.28551128378130597</v>
      </c>
      <c r="Q284" s="14" t="b">
        <f>IF(data[[#This Row],[Date]]&gt;MAX(data[Date])-750, TRUE, FALSE)</f>
        <v>1</v>
      </c>
      <c r="R284" s="34">
        <f t="shared" si="79"/>
        <v>0.5849999999999973</v>
      </c>
      <c r="S284" s="3">
        <v>0.34</v>
      </c>
      <c r="T284">
        <v>3.81</v>
      </c>
      <c r="V284" s="47">
        <v>20.431999999999999</v>
      </c>
      <c r="W284">
        <v>1.38</v>
      </c>
    </row>
    <row r="285" spans="1:28">
      <c r="A285" s="4">
        <v>45519</v>
      </c>
      <c r="B285">
        <f>YEAR(data[[#This Row],[Date]])</f>
        <v>2024</v>
      </c>
      <c r="C285" s="6">
        <f t="shared" si="112"/>
        <v>0.62</v>
      </c>
      <c r="D285" s="7">
        <f t="shared" si="113"/>
        <v>0.31</v>
      </c>
      <c r="E285" s="7">
        <f t="shared" si="114"/>
        <v>0.12</v>
      </c>
      <c r="F285" s="7">
        <f t="shared" si="105"/>
        <v>0.1</v>
      </c>
      <c r="G285" s="19">
        <v>0.37</v>
      </c>
      <c r="H285" s="15">
        <f>AVERAGE(0.335,0.325)</f>
        <v>0.33</v>
      </c>
      <c r="I285" s="7">
        <f t="shared" si="77"/>
        <v>0.44</v>
      </c>
      <c r="J285" s="7">
        <f t="shared" si="78"/>
        <v>0</v>
      </c>
      <c r="K285" s="7">
        <v>0.4</v>
      </c>
      <c r="L285" s="7">
        <v>0</v>
      </c>
      <c r="M285" s="7">
        <v>0.33</v>
      </c>
      <c r="N28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0.22142857142857147</v>
      </c>
      <c r="O28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0.18193521294322956</v>
      </c>
      <c r="P285" s="33">
        <f>IF(data[[#This Row],[Weighted_Avg]]&lt;&gt;"", IFERROR(AVERAGE(O273,O261,O249), ""), "")</f>
        <v>0.2900073134798678</v>
      </c>
      <c r="Q285" s="14" t="b">
        <f>IF(data[[#This Row],[Date]]&gt;MAX(data[Date])-750, TRUE, FALSE)</f>
        <v>1</v>
      </c>
      <c r="R285" s="34">
        <f t="shared" si="79"/>
        <v>0.60999999999999677</v>
      </c>
      <c r="S285" s="3">
        <v>0.35499999999999998</v>
      </c>
      <c r="T285">
        <v>3.7</v>
      </c>
      <c r="V285" s="47">
        <v>21.129000000000001</v>
      </c>
      <c r="W285">
        <v>1.34</v>
      </c>
    </row>
    <row r="286" spans="1:28">
      <c r="A286" s="4">
        <v>45550</v>
      </c>
      <c r="B286">
        <f>YEAR(data[[#This Row],[Date]])</f>
        <v>2024</v>
      </c>
      <c r="C286" s="6">
        <f t="shared" si="112"/>
        <v>0.65</v>
      </c>
      <c r="D286" s="7">
        <f t="shared" si="113"/>
        <v>0.33</v>
      </c>
      <c r="E286" s="7">
        <f t="shared" si="114"/>
        <v>0.15</v>
      </c>
      <c r="F286" s="7">
        <f t="shared" si="105"/>
        <v>0.12</v>
      </c>
      <c r="G286" s="19">
        <v>0.39600000000000002</v>
      </c>
      <c r="H286" s="15">
        <f>AVERAGE(0.32,0.3)</f>
        <v>0.31</v>
      </c>
      <c r="I286" s="7">
        <f t="shared" si="77"/>
        <v>0.46</v>
      </c>
      <c r="J286" s="7">
        <f t="shared" si="78"/>
        <v>0.02</v>
      </c>
      <c r="K286" s="7">
        <v>0.42</v>
      </c>
      <c r="L286" s="7">
        <v>0</v>
      </c>
      <c r="M286" s="7">
        <v>0.35</v>
      </c>
      <c r="N28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0.23228571428571426</v>
      </c>
      <c r="O28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0.19988323044983788</v>
      </c>
      <c r="P286" s="33">
        <f>IF(data[[#This Row],[Weighted_Avg]]&lt;&gt;"", IFERROR(AVERAGE(O274,O262,O250), ""), "")</f>
        <v>0.27800562895028708</v>
      </c>
      <c r="Q286" s="14" t="b">
        <f>IF(data[[#This Row],[Date]]&gt;MAX(data[Date])-750, TRUE, FALSE)</f>
        <v>1</v>
      </c>
      <c r="R286" s="34">
        <f t="shared" si="79"/>
        <v>0.61499999999999666</v>
      </c>
      <c r="S286" s="3">
        <v>0.35499999999999998</v>
      </c>
      <c r="T286">
        <v>3.5579999999999998</v>
      </c>
      <c r="V286" s="47">
        <v>21.294</v>
      </c>
      <c r="W286">
        <v>1.35</v>
      </c>
    </row>
    <row r="287" spans="1:28">
      <c r="A287" s="4">
        <v>45580</v>
      </c>
      <c r="B287">
        <f>YEAR(data[[#This Row],[Date]])</f>
        <v>2024</v>
      </c>
      <c r="C287" s="6">
        <f t="shared" ref="C287:C289" si="115">IF(T285&gt;1.25, ROUNDDOWN((T285-1.25)/0.04, 0)+1, 0)/100</f>
        <v>0.62</v>
      </c>
      <c r="D287" s="7">
        <f t="shared" ref="D287:D289" si="116">IF(T285&gt;2.5,ROUNDDOWN((T285-2.5)/0.04,0)+1,ROUNDUP((T285-2.5)/0.04,0)+1)/100</f>
        <v>0.31</v>
      </c>
      <c r="E287" s="7">
        <f t="shared" ref="E287:E289" si="117">IF(T285&gt;3.25, ROUNDDOWN((T285-3.25)/0.04, 0)+1, 0)/100</f>
        <v>0.12</v>
      </c>
      <c r="F287" s="7">
        <f t="shared" si="105"/>
        <v>0.1</v>
      </c>
      <c r="G287" s="19">
        <v>0.37</v>
      </c>
      <c r="H287" s="15">
        <f>AVERAGE(0.28,0.27)</f>
        <v>0.27500000000000002</v>
      </c>
      <c r="I287" s="7">
        <f t="shared" si="77"/>
        <v>0.43</v>
      </c>
      <c r="J287" s="7">
        <f t="shared" si="78"/>
        <v>0</v>
      </c>
      <c r="K287" s="7">
        <v>0.4</v>
      </c>
      <c r="L287" s="7">
        <v>0</v>
      </c>
      <c r="M287" s="7">
        <v>0.33</v>
      </c>
      <c r="N28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0.21357142857142858</v>
      </c>
      <c r="O28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0.17770407371369368</v>
      </c>
      <c r="P287" s="33">
        <f>IF(data[[#This Row],[Weighted_Avg]]&lt;&gt;"", IFERROR(AVERAGE(O275,O263,O251), ""), "")</f>
        <v>0.28379346863302801</v>
      </c>
      <c r="Q287" s="14" t="b">
        <f>IF(data[[#This Row],[Date]]&gt;MAX(data[Date])-750, TRUE, FALSE)</f>
        <v>1</v>
      </c>
      <c r="R287" s="34">
        <f t="shared" si="79"/>
        <v>0.60999999999999677</v>
      </c>
      <c r="S287" s="3">
        <v>0.35</v>
      </c>
      <c r="T287">
        <v>3.585</v>
      </c>
      <c r="V287" s="47">
        <v>21.189</v>
      </c>
      <c r="W287">
        <v>1.27</v>
      </c>
    </row>
    <row r="288" spans="1:28">
      <c r="A288" s="4">
        <v>45611</v>
      </c>
      <c r="B288">
        <f>YEAR(data[[#This Row],[Date]])</f>
        <v>2024</v>
      </c>
      <c r="C288" s="6">
        <f t="shared" si="115"/>
        <v>0.57999999999999996</v>
      </c>
      <c r="D288" s="7">
        <f t="shared" si="116"/>
        <v>0.27</v>
      </c>
      <c r="E288" s="7">
        <f t="shared" si="117"/>
        <v>0.08</v>
      </c>
      <c r="F288" s="7">
        <f t="shared" si="105"/>
        <v>7.0000000000000007E-2</v>
      </c>
      <c r="G288" s="19">
        <v>0.33100000000000002</v>
      </c>
      <c r="H288" s="15">
        <f>AVERAGE(0.275, 0.28)</f>
        <v>0.27750000000000002</v>
      </c>
      <c r="I288" s="7">
        <f t="shared" si="77"/>
        <v>0.39</v>
      </c>
      <c r="J288" s="7">
        <f t="shared" si="78"/>
        <v>0</v>
      </c>
      <c r="K288" s="7">
        <v>0.36</v>
      </c>
      <c r="L288" s="7">
        <v>0</v>
      </c>
      <c r="M288" s="7">
        <v>0.3</v>
      </c>
      <c r="N28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0.19264285714285717</v>
      </c>
      <c r="O28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0.15051035229882567</v>
      </c>
      <c r="P288" s="33">
        <f>IF(data[[#This Row],[Weighted_Avg]]&lt;&gt;"", IFERROR(AVERAGE(O276,O264,O252), ""), "")</f>
        <v>0.29427402892354143</v>
      </c>
      <c r="Q288" s="14" t="b">
        <f>IF(data[[#This Row],[Date]]&gt;MAX(data[Date])-750, TRUE, FALSE)</f>
        <v>1</v>
      </c>
      <c r="R288" s="34">
        <f t="shared" si="79"/>
        <v>0.59999999999999698</v>
      </c>
      <c r="S288" s="3">
        <v>0.34499999999999997</v>
      </c>
      <c r="T288">
        <v>3.5219999999999998</v>
      </c>
      <c r="V288" s="47">
        <v>20.852</v>
      </c>
      <c r="W288">
        <v>1.21</v>
      </c>
    </row>
    <row r="289" spans="1:23">
      <c r="A289" s="4">
        <v>45641</v>
      </c>
      <c r="B289">
        <f>YEAR(data[[#This Row],[Date]])</f>
        <v>2024</v>
      </c>
      <c r="C289" s="6">
        <f t="shared" si="115"/>
        <v>0.59</v>
      </c>
      <c r="D289" s="7">
        <f t="shared" si="116"/>
        <v>0.28000000000000003</v>
      </c>
      <c r="E289" s="7">
        <f t="shared" si="117"/>
        <v>0.09</v>
      </c>
      <c r="F289" s="7">
        <f t="shared" si="105"/>
        <v>7.0000000000000007E-2</v>
      </c>
      <c r="G289" s="19">
        <v>0.33750000000000002</v>
      </c>
      <c r="H289" s="15">
        <f>AVERAGE(0.275,0.265)</f>
        <v>0.27</v>
      </c>
      <c r="I289" s="7">
        <f t="shared" si="77"/>
        <v>0.4</v>
      </c>
      <c r="J289" s="7">
        <f t="shared" si="78"/>
        <v>0</v>
      </c>
      <c r="K289" s="7">
        <v>0.37</v>
      </c>
      <c r="L289" s="7">
        <v>0</v>
      </c>
      <c r="M289" s="7">
        <v>0.3</v>
      </c>
      <c r="N28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0.19535714285714284</v>
      </c>
      <c r="O28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0.15497829007236641</v>
      </c>
      <c r="P289" s="33">
        <f>IF(data[[#This Row],[Weighted_Avg]]&lt;&gt;"", IFERROR(AVERAGE(O277,O265,O253), ""), "")</f>
        <v>0.31320937158764517</v>
      </c>
      <c r="Q289" s="14" t="b">
        <f>IF(data[[#This Row],[Date]]&gt;MAX(data[Date])-750, TRUE, FALSE)</f>
        <v>1</v>
      </c>
      <c r="R289" s="34">
        <f t="shared" si="79"/>
        <v>0.61999999999999655</v>
      </c>
      <c r="S289" s="3">
        <v>0.35499999999999998</v>
      </c>
      <c r="T289">
        <v>3.4940000000000002</v>
      </c>
      <c r="V289" s="47">
        <v>21.390999999999998</v>
      </c>
      <c r="W289">
        <v>1.25</v>
      </c>
    </row>
    <row r="290" spans="1:23">
      <c r="A290" s="4">
        <v>45672</v>
      </c>
      <c r="B290">
        <f>YEAR(data[[#This Row],[Date]])</f>
        <v>2025</v>
      </c>
      <c r="C290" s="6">
        <f t="shared" ref="C290:C293" si="118">IF(T288&gt;1.25, ROUNDDOWN((T288-1.25)/0.04, 0)+1, 0)/100</f>
        <v>0.56999999999999995</v>
      </c>
      <c r="D290" s="7">
        <f t="shared" ref="D290:D293" si="119">IF(T288&gt;2.5,ROUNDDOWN((T288-2.5)/0.04,0)+1,ROUNDUP((T288-2.5)/0.04,0)+1)/100</f>
        <v>0.26</v>
      </c>
      <c r="E290" s="7">
        <f t="shared" ref="E290:E293" si="120">IF(T288&gt;3.25, ROUNDDOWN((T288-3.25)/0.04, 0)+1, 0)/100</f>
        <v>7.0000000000000007E-2</v>
      </c>
      <c r="F290" s="7">
        <f t="shared" si="105"/>
        <v>0.06</v>
      </c>
      <c r="G290" s="19">
        <v>0.318</v>
      </c>
      <c r="H290" s="15">
        <f>AVERAGE(0.265,0.26)</f>
        <v>0.26250000000000001</v>
      </c>
      <c r="I290" s="7">
        <f t="shared" si="77"/>
        <v>0.39</v>
      </c>
      <c r="J290" s="7">
        <f t="shared" si="78"/>
        <v>0</v>
      </c>
      <c r="K290" s="7">
        <v>0.35</v>
      </c>
      <c r="L290" s="7">
        <v>0</v>
      </c>
      <c r="M290" s="7">
        <v>0.28999999999999998</v>
      </c>
      <c r="N29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0.18435714285714289</v>
      </c>
      <c r="O29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0.12598614434761815</v>
      </c>
      <c r="P290" s="33">
        <f>IF(data[[#This Row],[Weighted_Avg]]&lt;&gt;"", IFERROR(AVERAGE(O278,O266,O254), ""), "")</f>
        <v>0.31257942428629826</v>
      </c>
      <c r="Q290" s="14" t="b">
        <f>IF(data[[#This Row],[Date]]&gt;MAX(data[Date])-750, TRUE, FALSE)</f>
        <v>1</v>
      </c>
      <c r="R290" s="34">
        <f t="shared" si="79"/>
        <v>0.62999999999999634</v>
      </c>
      <c r="S290" s="3">
        <v>0.36</v>
      </c>
      <c r="T290">
        <v>3.6339999999999999</v>
      </c>
      <c r="V290" s="47">
        <v>21.727</v>
      </c>
      <c r="W290">
        <v>1.23</v>
      </c>
    </row>
    <row r="291" spans="1:23">
      <c r="A291" s="4">
        <v>45703</v>
      </c>
      <c r="B291">
        <f>YEAR(data[[#This Row],[Date]])</f>
        <v>2025</v>
      </c>
      <c r="C291" s="6">
        <f t="shared" si="118"/>
        <v>0.56999999999999995</v>
      </c>
      <c r="D291" s="7">
        <f t="shared" si="119"/>
        <v>0.25</v>
      </c>
      <c r="E291" s="7">
        <f t="shared" si="120"/>
        <v>7.0000000000000007E-2</v>
      </c>
      <c r="F291" s="7">
        <f t="shared" si="105"/>
        <v>0.05</v>
      </c>
      <c r="G291" s="19">
        <v>0.3115</v>
      </c>
      <c r="H291" s="15">
        <f>AVERAGE(0.27,0.295)</f>
        <v>0.28249999999999997</v>
      </c>
      <c r="I291" s="7">
        <f t="shared" si="77"/>
        <v>0.38</v>
      </c>
      <c r="J291" s="7">
        <f t="shared" si="78"/>
        <v>0</v>
      </c>
      <c r="K291" s="7">
        <v>0.34</v>
      </c>
      <c r="L291" s="7">
        <v>0</v>
      </c>
      <c r="M291" s="7">
        <v>0.28000000000000003</v>
      </c>
      <c r="N29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0.18342857142857144</v>
      </c>
      <c r="O29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0.12381468584786162</v>
      </c>
      <c r="P291" s="33">
        <f>IF(data[[#This Row],[Weighted_Avg]]&lt;&gt;"", IFERROR(AVERAGE(O279,O267,O255), ""), "")</f>
        <v>0.25645478889000878</v>
      </c>
      <c r="Q291" s="14" t="b">
        <f>IF(data[[#This Row],[Date]]&gt;MAX(data[Date])-750, TRUE, FALSE)</f>
        <v>1</v>
      </c>
      <c r="R291" s="34">
        <f t="shared" si="79"/>
        <v>0.62499999999999645</v>
      </c>
      <c r="S291" s="3">
        <v>0.39</v>
      </c>
      <c r="T291">
        <v>3.6749999999999998</v>
      </c>
      <c r="V291" s="47">
        <v>21.603999999999999</v>
      </c>
      <c r="W291">
        <v>1.26</v>
      </c>
    </row>
    <row r="292" spans="1:23">
      <c r="A292" s="4">
        <v>45731</v>
      </c>
      <c r="B292">
        <f>YEAR(data[[#This Row],[Date]])</f>
        <v>2025</v>
      </c>
      <c r="C292" s="6">
        <f t="shared" si="118"/>
        <v>0.6</v>
      </c>
      <c r="D292" s="7">
        <f t="shared" si="119"/>
        <v>0.28999999999999998</v>
      </c>
      <c r="E292" s="7">
        <f t="shared" si="120"/>
        <v>0.1</v>
      </c>
      <c r="F292" s="7">
        <f t="shared" si="105"/>
        <v>0.08</v>
      </c>
      <c r="G292" s="19">
        <v>0.35049999999999998</v>
      </c>
      <c r="H292" s="15">
        <f>AVERAGE(0.295,0.3)</f>
        <v>0.29749999999999999</v>
      </c>
      <c r="I292" s="7">
        <f t="shared" si="77"/>
        <v>0.41</v>
      </c>
      <c r="J292" s="7">
        <f t="shared" si="78"/>
        <v>0</v>
      </c>
      <c r="K292" s="7">
        <v>0.38</v>
      </c>
      <c r="L292" s="7">
        <v>0</v>
      </c>
      <c r="M292" s="7">
        <v>0.31</v>
      </c>
      <c r="N29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0.20542857142857146</v>
      </c>
      <c r="O29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0.14686455995827363</v>
      </c>
      <c r="P292" s="33">
        <f>IF(data[[#This Row],[Weighted_Avg]]&lt;&gt;"", IFERROR(AVERAGE(O280,O268,O256), ""), "")</f>
        <v>0.24977907832445093</v>
      </c>
      <c r="Q292" s="14" t="b">
        <f>IF(data[[#This Row],[Date]]&gt;MAX(data[Date])-750, TRUE, FALSE)</f>
        <v>1</v>
      </c>
      <c r="R292" s="34">
        <f t="shared" ref="R292:R308" si="121">AVERAGEIFS(Z:Z,X:X,  "&lt;="&amp;V292,Y:Y, "&gt;="&amp;V292)</f>
        <v>0.64999999999999591</v>
      </c>
      <c r="S292" s="3">
        <v>0.37</v>
      </c>
      <c r="T292">
        <v>3.585</v>
      </c>
      <c r="V292" s="47">
        <v>22.315999999999999</v>
      </c>
      <c r="W292">
        <v>1.25</v>
      </c>
    </row>
    <row r="293" spans="1:23">
      <c r="A293" s="4">
        <v>45762</v>
      </c>
      <c r="B293">
        <f>YEAR(data[[#This Row],[Date]])</f>
        <v>2025</v>
      </c>
      <c r="C293" s="6">
        <f t="shared" si="118"/>
        <v>0.61</v>
      </c>
      <c r="D293" s="7">
        <f t="shared" si="119"/>
        <v>0.3</v>
      </c>
      <c r="E293" s="7">
        <f t="shared" si="120"/>
        <v>0.11</v>
      </c>
      <c r="F293" s="7">
        <f t="shared" si="105"/>
        <v>0.09</v>
      </c>
      <c r="G293" s="19">
        <v>0.36349999999999999</v>
      </c>
      <c r="H293" s="15">
        <f>AVERAGE(0.285,0.275)</f>
        <v>0.28000000000000003</v>
      </c>
      <c r="I293" s="7">
        <f t="shared" si="77"/>
        <v>0.42</v>
      </c>
      <c r="J293" s="7">
        <f t="shared" si="78"/>
        <v>0</v>
      </c>
      <c r="K293" s="7">
        <v>0.39</v>
      </c>
      <c r="L293" s="7">
        <v>0</v>
      </c>
      <c r="M293" s="7">
        <v>0.32</v>
      </c>
      <c r="N29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0.20907142857142857</v>
      </c>
      <c r="O29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0.15386153791503276</v>
      </c>
      <c r="P293" s="33">
        <f>IF(data[[#This Row],[Weighted_Avg]]&lt;&gt;"", IFERROR(AVERAGE(O281,O269,O257), ""), "")</f>
        <v>0.27201688207603936</v>
      </c>
      <c r="Q293" s="14" t="b">
        <f>IF(data[[#This Row],[Date]]&gt;MAX(data[Date])-750, TRUE, FALSE)</f>
        <v>1</v>
      </c>
      <c r="R293" s="34">
        <f t="shared" si="121"/>
        <v>0.64499999999999602</v>
      </c>
      <c r="S293" s="3">
        <v>0.37</v>
      </c>
      <c r="T293">
        <v>3.5670000000000002</v>
      </c>
      <c r="V293" s="47">
        <v>22.148</v>
      </c>
      <c r="W293">
        <v>1.25</v>
      </c>
    </row>
    <row r="294" spans="1:23">
      <c r="A294" s="4">
        <v>45792</v>
      </c>
      <c r="B294">
        <f>YEAR(data[[#This Row],[Date]])</f>
        <v>2025</v>
      </c>
      <c r="C294" s="6">
        <f t="shared" ref="C294:C299" si="122">IF(T292&gt;1.25, ROUNDDOWN((T292-1.25)/0.04, 0)+1, 0)/100</f>
        <v>0.59</v>
      </c>
      <c r="D294" s="7">
        <f t="shared" ref="D294:D295" si="123">IF(T292&gt;2.5,ROUNDDOWN((T292-2.5)/0.04,0)+1,ROUNDUP((T292-2.5)/0.04,0)+1)/100</f>
        <v>0.28000000000000003</v>
      </c>
      <c r="E294" s="7">
        <f t="shared" ref="E294:E299" si="124">IF(T292&gt;3.25, ROUNDDOWN((T292-3.25)/0.04, 0)+1, 0)/100</f>
        <v>0.09</v>
      </c>
      <c r="F294" s="7">
        <f t="shared" si="105"/>
        <v>7.0000000000000007E-2</v>
      </c>
      <c r="G294" s="19">
        <v>0.33750000000000002</v>
      </c>
      <c r="H294" s="15">
        <f>AVERAGE(0.285, 0.275)</f>
        <v>0.28000000000000003</v>
      </c>
      <c r="I294" s="7">
        <f t="shared" si="77"/>
        <v>0.4</v>
      </c>
      <c r="J294" s="7">
        <f t="shared" si="78"/>
        <v>0</v>
      </c>
      <c r="K294" s="7">
        <v>0.37</v>
      </c>
      <c r="L294" s="7">
        <v>0</v>
      </c>
      <c r="M294" s="7">
        <v>0.3</v>
      </c>
      <c r="N29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0.19678571428571431</v>
      </c>
      <c r="O29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0.13885401919621274</v>
      </c>
      <c r="P294" s="33">
        <f>IF(data[[#This Row],[Weighted_Avg]]&lt;&gt;"", IFERROR(AVERAGE(O282,O270,O258), ""), "")</f>
        <v>0.3254483168515579</v>
      </c>
      <c r="Q294" s="14" t="b">
        <f>IF(data[[#This Row],[Date]]&gt;MAX(data[Date])-750, TRUE, FALSE)</f>
        <v>1</v>
      </c>
      <c r="R294" s="34">
        <f t="shared" si="121"/>
        <v>0.59499999999999709</v>
      </c>
      <c r="S294" s="3">
        <v>0.37</v>
      </c>
      <c r="T294">
        <v>3.4990000000000001</v>
      </c>
      <c r="V294" s="47">
        <v>20.690999999999999</v>
      </c>
      <c r="W294">
        <v>1.1599999999999999</v>
      </c>
    </row>
    <row r="295" spans="1:23">
      <c r="A295" s="4">
        <v>45823</v>
      </c>
      <c r="B295">
        <f>YEAR(data[[#This Row],[Date]])</f>
        <v>2025</v>
      </c>
      <c r="C295" s="6">
        <f t="shared" si="122"/>
        <v>0.57999999999999996</v>
      </c>
      <c r="D295" s="7">
        <f t="shared" si="123"/>
        <v>0.27</v>
      </c>
      <c r="E295" s="7">
        <f t="shared" si="124"/>
        <v>0.08</v>
      </c>
      <c r="F295" s="7">
        <f t="shared" si="105"/>
        <v>7.0000000000000007E-2</v>
      </c>
      <c r="G295" s="19">
        <v>0.33100000000000002</v>
      </c>
      <c r="H295" s="15">
        <f>AVERAGE(0.265,0.265)</f>
        <v>0.26500000000000001</v>
      </c>
      <c r="I295" s="7">
        <f t="shared" si="77"/>
        <v>0.4</v>
      </c>
      <c r="J295" s="7">
        <f t="shared" si="78"/>
        <v>0</v>
      </c>
      <c r="K295" s="7">
        <v>0.36</v>
      </c>
      <c r="L295" s="7">
        <v>0</v>
      </c>
      <c r="M295" s="7">
        <v>0.3</v>
      </c>
      <c r="N29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0.19085714285714286</v>
      </c>
      <c r="O29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0.13356230105026401</v>
      </c>
      <c r="P295" s="33">
        <f>IF(data[[#This Row],[Weighted_Avg]]&lt;&gt;"", IFERROR(AVERAGE(O283,O271,O259), ""), "")</f>
        <v>0.31706145254917112</v>
      </c>
      <c r="Q295" s="14" t="b">
        <f>IF(data[[#This Row],[Date]]&gt;MAX(data[Date])-750, TRUE, FALSE)</f>
        <v>1</v>
      </c>
      <c r="R295" s="34">
        <f t="shared" si="121"/>
        <v>0.57499999999999751</v>
      </c>
      <c r="S295" s="3">
        <v>0.32500000000000001</v>
      </c>
      <c r="T295">
        <v>3.5990000000000002</v>
      </c>
      <c r="V295" s="47">
        <v>20.091000000000001</v>
      </c>
      <c r="W295">
        <v>1.1299999999999999</v>
      </c>
    </row>
    <row r="296" spans="1:23">
      <c r="A296" s="4">
        <v>45853</v>
      </c>
      <c r="B296">
        <f>YEAR(data[[#This Row],[Date]])</f>
        <v>2025</v>
      </c>
      <c r="C296" s="6">
        <f t="shared" si="122"/>
        <v>0.56999999999999995</v>
      </c>
      <c r="D296" s="7">
        <f t="shared" ref="D296:D300" si="125">_xlfn.LET(_xlpm.hdf,T294,_xlpm.sp,2.5, _xlpm.hdf_inc, 0.05, _xlpm.fs_inc_pennies, 1, IF(_xlpm.hdf&gt;_xlpm.sp,ROUNDDOWN((_xlpm.hdf-_xlpm.sp)/_xlpm.hdf_inc,0)+1, 0)/100)</f>
        <v>0.2</v>
      </c>
      <c r="E296" s="7">
        <f t="shared" si="124"/>
        <v>7.0000000000000007E-2</v>
      </c>
      <c r="F296" s="7">
        <f>IF(T294&gt;3.25, ROUNDDOWN((T294-3.25)/0.05, 0)+1, 0)/100</f>
        <v>0.05</v>
      </c>
      <c r="G296" s="19">
        <v>0.3115</v>
      </c>
      <c r="H296" s="15">
        <f>AVERAGE(0.255,0.3)</f>
        <v>0.27749999999999997</v>
      </c>
      <c r="I296" s="7">
        <f t="shared" si="77"/>
        <v>0.38</v>
      </c>
      <c r="J296" s="7">
        <f t="shared" si="78"/>
        <v>0</v>
      </c>
      <c r="K296" s="7">
        <v>0.34</v>
      </c>
      <c r="L296" s="7">
        <f t="shared" ref="L296:L300" si="126">IF(FLOOR(T294,0.01)&gt;2.5, CEILING((FLOOR(T294,0.01)-2.5)/0.04,1)/100, 0)</f>
        <v>0.25</v>
      </c>
      <c r="M296" s="7">
        <v>0.28000000000000003</v>
      </c>
      <c r="N29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0.21557142857142858</v>
      </c>
      <c r="O29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0.14081762124995451</v>
      </c>
      <c r="P296" s="33">
        <f>IF(data[[#This Row],[Weighted_Avg]]&lt;&gt;"", IFERROR(AVERAGE(O284,O272,O260), ""), "")</f>
        <v>0.32326531431567868</v>
      </c>
      <c r="Q296" s="14" t="b">
        <f>IF(data[[#This Row],[Date]]&gt;MAX(data[Date])-750, TRUE, FALSE)</f>
        <v>1</v>
      </c>
      <c r="R296" s="34">
        <f t="shared" si="121"/>
        <v>0.55499999999999794</v>
      </c>
      <c r="S296" s="3">
        <v>0.32500000000000001</v>
      </c>
      <c r="T296">
        <v>3.7789999999999999</v>
      </c>
      <c r="V296" s="47">
        <v>19.553000000000001</v>
      </c>
      <c r="W296">
        <v>1.1200000000000001</v>
      </c>
    </row>
    <row r="297" spans="1:23">
      <c r="A297" s="4">
        <v>45884</v>
      </c>
      <c r="B297">
        <f>YEAR(data[[#This Row],[Date]])</f>
        <v>2025</v>
      </c>
      <c r="C297" s="6">
        <f t="shared" si="122"/>
        <v>0.59</v>
      </c>
      <c r="D297" s="7">
        <f t="shared" si="125"/>
        <v>0.22</v>
      </c>
      <c r="E297" s="7">
        <f t="shared" si="124"/>
        <v>0.09</v>
      </c>
      <c r="F297" s="7">
        <f t="shared" ref="F297:F301" si="127">IF(T295&gt;3.25, ROUNDDOWN((T295-3.25)/0.05, 0)+1, 0)/100</f>
        <v>7.0000000000000007E-2</v>
      </c>
      <c r="G297" s="19">
        <v>0.33750000000000002</v>
      </c>
      <c r="H297" s="15">
        <f>AVERAGE(0.31,0.32)</f>
        <v>0.315</v>
      </c>
      <c r="I297" s="7">
        <f t="shared" si="77"/>
        <v>0.4</v>
      </c>
      <c r="J297" s="7">
        <f t="shared" si="78"/>
        <v>0</v>
      </c>
      <c r="K297" s="7">
        <v>0.37</v>
      </c>
      <c r="L297" s="7">
        <f t="shared" si="126"/>
        <v>0.28000000000000003</v>
      </c>
      <c r="M297" s="7">
        <v>0.3</v>
      </c>
      <c r="N29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0.23892857142857143</v>
      </c>
      <c r="O29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0.16012615384348797</v>
      </c>
      <c r="P297" s="33">
        <f>IF(data[[#This Row],[Weighted_Avg]]&lt;&gt;"", IFERROR(AVERAGE(O285,O273,O261), ""), "")</f>
        <v>0.32018085426598897</v>
      </c>
      <c r="Q297" s="14" t="b">
        <f>IF(data[[#This Row],[Date]]&gt;MAX(data[Date])-750, TRUE, FALSE)</f>
        <v>1</v>
      </c>
      <c r="R297" s="34">
        <f t="shared" si="121"/>
        <v>0.5849999999999973</v>
      </c>
      <c r="S297" s="3">
        <v>0.34</v>
      </c>
      <c r="T297">
        <v>3.7440000000000002</v>
      </c>
      <c r="V297" s="47">
        <v>20.344999999999999</v>
      </c>
      <c r="W297">
        <v>1.21</v>
      </c>
    </row>
    <row r="298" spans="1:23">
      <c r="A298" s="4">
        <v>45915</v>
      </c>
      <c r="B298">
        <f>YEAR(data[[#This Row],[Date]])</f>
        <v>2025</v>
      </c>
      <c r="C298" s="6">
        <f t="shared" si="122"/>
        <v>0.64</v>
      </c>
      <c r="D298" s="7">
        <f t="shared" si="125"/>
        <v>0.26</v>
      </c>
      <c r="E298" s="7">
        <f t="shared" si="124"/>
        <v>0.14000000000000001</v>
      </c>
      <c r="F298" s="7">
        <f t="shared" si="127"/>
        <v>0.11</v>
      </c>
      <c r="G298" s="19">
        <v>0.38950000000000001</v>
      </c>
      <c r="H298" s="15">
        <f>AVERAGE(0.325, 0.305)</f>
        <v>0.315</v>
      </c>
      <c r="I298" s="7">
        <f t="shared" si="77"/>
        <v>0.45</v>
      </c>
      <c r="J298" s="7">
        <f t="shared" si="78"/>
        <v>0.01</v>
      </c>
      <c r="K298" s="7">
        <v>0.41</v>
      </c>
      <c r="L298" s="7">
        <f t="shared" si="126"/>
        <v>0.32</v>
      </c>
      <c r="M298" s="7">
        <v>0.34</v>
      </c>
      <c r="N298"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0.26921428571428574</v>
      </c>
      <c r="O29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0.19428898028567321</v>
      </c>
      <c r="P298" s="33">
        <f>IF(data[[#This Row],[Weighted_Avg]]&lt;&gt;"", IFERROR(AVERAGE(O286,O274,O262), ""), "")</f>
        <v>0.31296150829385394</v>
      </c>
      <c r="Q298" s="14" t="b">
        <f>IF(data[[#This Row],[Date]]&gt;MAX(data[Date])-750, TRUE, FALSE)</f>
        <v>1</v>
      </c>
      <c r="R298" s="34">
        <f t="shared" si="121"/>
        <v>0.59999999999999698</v>
      </c>
      <c r="S298" s="3">
        <v>0.34499999999999997</v>
      </c>
      <c r="T298">
        <v>3.7480000000000002</v>
      </c>
      <c r="V298" s="47">
        <v>20.864000000000001</v>
      </c>
      <c r="W298">
        <v>1.27</v>
      </c>
    </row>
    <row r="299" spans="1:23">
      <c r="A299" s="4">
        <v>45945</v>
      </c>
      <c r="B299">
        <f>YEAR(data[[#This Row],[Date]])</f>
        <v>2025</v>
      </c>
      <c r="C299" s="6">
        <f t="shared" si="122"/>
        <v>0.63</v>
      </c>
      <c r="D299" s="7">
        <f t="shared" si="125"/>
        <v>0.25</v>
      </c>
      <c r="E299" s="7">
        <f t="shared" si="124"/>
        <v>0.13</v>
      </c>
      <c r="F299" s="7">
        <f t="shared" si="127"/>
        <v>0.1</v>
      </c>
      <c r="G299" s="19">
        <v>0.3765</v>
      </c>
      <c r="H299" s="15">
        <f>AVERAGE(0.315, 0.315)</f>
        <v>0.315</v>
      </c>
      <c r="I299" s="7">
        <f t="shared" si="77"/>
        <v>0.44</v>
      </c>
      <c r="J299" s="7">
        <f t="shared" si="78"/>
        <v>0</v>
      </c>
      <c r="K299" s="7">
        <v>0.41</v>
      </c>
      <c r="L299" s="7">
        <f t="shared" si="126"/>
        <v>0.31</v>
      </c>
      <c r="M299" s="7">
        <v>0.33</v>
      </c>
      <c r="N299"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0.26307142857142857</v>
      </c>
      <c r="O299"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0.18585248564789386</v>
      </c>
      <c r="P299" s="33">
        <f>IF(data[[#This Row],[Weighted_Avg]]&lt;&gt;"", IFERROR(AVERAGE(O287,O275,O263), ""), "")</f>
        <v>0.3102547600455689</v>
      </c>
      <c r="Q299" s="14" t="b">
        <f>IF(data[[#This Row],[Date]]&gt;MAX(data[Date])-750, TRUE, FALSE)</f>
        <v>1</v>
      </c>
      <c r="R299" s="34">
        <f t="shared" si="121"/>
        <v>0.57999999999999741</v>
      </c>
      <c r="S299" s="3">
        <v>0.34</v>
      </c>
      <c r="T299">
        <v>3.6789999999999998</v>
      </c>
      <c r="V299" s="47">
        <v>20.291</v>
      </c>
      <c r="W299">
        <v>1.22</v>
      </c>
    </row>
    <row r="300" spans="1:23">
      <c r="A300" s="4">
        <v>45976</v>
      </c>
      <c r="B300">
        <f>YEAR(data[[#This Row],[Date]])</f>
        <v>2025</v>
      </c>
      <c r="C300" s="6">
        <f t="shared" ref="C300" si="128">IF(T298&gt;1.25, ROUNDDOWN((T298-1.25)/0.04, 0)+1, 0)/100</f>
        <v>0.63</v>
      </c>
      <c r="D300" s="7">
        <f t="shared" si="125"/>
        <v>0.25</v>
      </c>
      <c r="E300" s="7">
        <f t="shared" ref="E300:E301" si="129">IF(T298&gt;3.25, ROUNDDOWN((T298-3.25)/0.04, 0)+1, 0)/100</f>
        <v>0.13</v>
      </c>
      <c r="F300" s="7">
        <f t="shared" si="127"/>
        <v>0.1</v>
      </c>
      <c r="G300" s="19">
        <v>0.3765</v>
      </c>
      <c r="H300" s="15">
        <f>AVERAGE(0.31,0.295)</f>
        <v>0.30249999999999999</v>
      </c>
      <c r="I300" s="7">
        <f t="shared" si="77"/>
        <v>0.44</v>
      </c>
      <c r="J300" s="7">
        <f t="shared" si="78"/>
        <v>0</v>
      </c>
      <c r="K300" s="7">
        <v>0.41</v>
      </c>
      <c r="L300" s="7">
        <f t="shared" si="126"/>
        <v>0.31</v>
      </c>
      <c r="M300" s="7">
        <v>0.33</v>
      </c>
      <c r="N300"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0.26128571428571429</v>
      </c>
      <c r="O300"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0.18549049893171465</v>
      </c>
      <c r="P300" s="33">
        <f>IF(data[[#This Row],[Weighted_Avg]]&lt;&gt;"", IFERROR(AVERAGE(O288,O276,O264), ""), "")</f>
        <v>0.30966273146105266</v>
      </c>
      <c r="Q300" s="14" t="b">
        <f>IF(data[[#This Row],[Date]]&gt;MAX(data[Date])-750, TRUE, FALSE)</f>
        <v>1</v>
      </c>
      <c r="R300" s="34">
        <f t="shared" si="121"/>
        <v>0.59499999999999709</v>
      </c>
      <c r="S300" s="3">
        <v>0.34</v>
      </c>
      <c r="T300">
        <v>3.8220000000000001</v>
      </c>
      <c r="V300" s="47">
        <v>20.65</v>
      </c>
      <c r="W300">
        <v>1.27</v>
      </c>
    </row>
    <row r="301" spans="1:23">
      <c r="A301" s="4">
        <v>46006</v>
      </c>
      <c r="B301">
        <f>YEAR(data[[#This Row],[Date]])</f>
        <v>2025</v>
      </c>
      <c r="C301" s="6">
        <f t="shared" ref="C301:C307" si="130">IF(T299&gt;1.25, ROUNDDOWN((T299-1.25)/0.04, 0)+1, 0)/100</f>
        <v>0.61</v>
      </c>
      <c r="D301" s="7">
        <f>_xlfn.LET(_xlpm.hdf,T299,_xlpm.sp,2.5, _xlpm.hdf_inc, 0.05, _xlpm.fs_inc_pennies, 1, IF(_xlpm.hdf&gt;_xlpm.sp,ROUNDDOWN((_xlpm.hdf-_xlpm.sp)/_xlpm.hdf_inc,0)+1, 0)/100)</f>
        <v>0.24</v>
      </c>
      <c r="E301" s="7">
        <f t="shared" si="129"/>
        <v>0.11</v>
      </c>
      <c r="F301" s="7">
        <f t="shared" si="127"/>
        <v>0.09</v>
      </c>
      <c r="G301" s="19">
        <v>0.36349999999999999</v>
      </c>
      <c r="H301" s="15">
        <f>AVERAGE(0.32,0.335)</f>
        <v>0.32750000000000001</v>
      </c>
      <c r="I301" s="7">
        <f t="shared" si="77"/>
        <v>0.42</v>
      </c>
      <c r="J301" s="7">
        <f t="shared" si="78"/>
        <v>0</v>
      </c>
      <c r="K301" s="7">
        <v>0.39</v>
      </c>
      <c r="L301" s="7">
        <f t="shared" ref="L301:L308" si="131">IF(FLOOR(T299,0.01)&gt;2.5, CEILING((FLOOR(T299,0.01)-2.5)/0.04,1)/100, 0)</f>
        <v>0.3</v>
      </c>
      <c r="M301" s="7">
        <v>0.32</v>
      </c>
      <c r="N301"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0.25585714285714289</v>
      </c>
      <c r="O301"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0.17756955378075978</v>
      </c>
      <c r="P301" s="33">
        <f>IF(data[[#This Row],[Weighted_Avg]]&lt;&gt;"", IFERROR(AVERAGE(O289,O277,O265), ""), "")</f>
        <v>0.32254817851875489</v>
      </c>
      <c r="Q301" s="14" t="b">
        <f>IF(data[[#This Row],[Date]]&gt;MAX(data[Date])-750, TRUE, FALSE)</f>
        <v>1</v>
      </c>
      <c r="R301" s="34">
        <f t="shared" si="121"/>
        <v>0.5849999999999973</v>
      </c>
      <c r="S301" s="3">
        <v>0.34</v>
      </c>
      <c r="T301">
        <v>3.6150000000000002</v>
      </c>
      <c r="V301" s="47">
        <v>20.395</v>
      </c>
      <c r="W301">
        <v>1.26</v>
      </c>
    </row>
    <row r="302" spans="1:23">
      <c r="A302" s="4">
        <v>46037</v>
      </c>
      <c r="B302">
        <f>YEAR(data[[#This Row],[Date]])</f>
        <v>2026</v>
      </c>
      <c r="C302" s="6">
        <f t="shared" si="130"/>
        <v>0.65</v>
      </c>
      <c r="D302" s="7">
        <f>_xlfn.LET(_xlpm.hdf,T300,_xlpm.sp,2.5, _xlpm.hdf_inc, 0.05, _xlpm.fs_inc_pennies, 1, IF(_xlpm.hdf&gt;_xlpm.sp,ROUNDDOWN((_xlpm.hdf-_xlpm.sp)/_xlpm.hdf_inc,0)+1, 0)/100)</f>
        <v>0.27</v>
      </c>
      <c r="E302" s="11">
        <f t="shared" ref="E302:E303" si="132">IF(T300&gt;3.25, ROUNDDOWN((T300-3.25)/0.04, 0)+1, 0)/100</f>
        <v>0.15</v>
      </c>
      <c r="F302" s="7">
        <f t="shared" ref="F302:F307" si="133">IF(T300&gt;3.25, ROUNDDOWN((T300-3.25)/0.05, 0)+1, 0)/100</f>
        <v>0.12</v>
      </c>
      <c r="G302" s="19">
        <v>0.39600000000000002</v>
      </c>
      <c r="H302" s="15">
        <f>AVERAGE(0.305,0.28)</f>
        <v>0.29249999999999998</v>
      </c>
      <c r="I302" s="7">
        <f t="shared" si="77"/>
        <v>0.46</v>
      </c>
      <c r="J302" s="7">
        <f t="shared" si="78"/>
        <v>0.02</v>
      </c>
      <c r="K302" s="7">
        <v>0.43</v>
      </c>
      <c r="L302" s="7">
        <f t="shared" si="131"/>
        <v>0.33</v>
      </c>
      <c r="M302" s="7">
        <v>0.35</v>
      </c>
      <c r="N302"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0.27407142857142858</v>
      </c>
      <c r="O302"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0.22601721275782632</v>
      </c>
      <c r="P302" s="33">
        <f>IF(data[[#This Row],[Weighted_Avg]]&lt;&gt;"", IFERROR(AVERAGE(O290,O278,O266), ""), "")</f>
        <v>0.29341205679829535</v>
      </c>
      <c r="Q302" s="33" t="b">
        <f>IF(data[[#This Row],[Date]]&gt;MAX(data[Date])-750, TRUE, FALSE)</f>
        <v>1</v>
      </c>
      <c r="R302" s="34">
        <f t="shared" si="121"/>
        <v>0.60999999999999677</v>
      </c>
      <c r="S302" s="34">
        <v>0.35</v>
      </c>
      <c r="T302">
        <v>3.5230000000000001</v>
      </c>
      <c r="V302" s="47">
        <v>21.120999999999999</v>
      </c>
      <c r="W302">
        <v>1.31</v>
      </c>
    </row>
    <row r="303" spans="1:23">
      <c r="A303" s="4">
        <v>46068</v>
      </c>
      <c r="B303">
        <f>YEAR(data[[#This Row],[Date]])</f>
        <v>2026</v>
      </c>
      <c r="C303" s="6">
        <f t="shared" si="130"/>
        <v>0.6</v>
      </c>
      <c r="D303" s="7">
        <f>_xlfn.LET(_xlpm.hdf,T301,_xlpm.sp,2.5, _xlpm.hdf_inc, 0.05, _xlpm.fs_inc_pennies, 1, IF(_xlpm.hdf&gt;_xlpm.sp,ROUNDDOWN((_xlpm.hdf-_xlpm.sp)/_xlpm.hdf_inc,0)+1, 0)/100)</f>
        <v>0.23</v>
      </c>
      <c r="E303" s="7">
        <f t="shared" si="132"/>
        <v>0.1</v>
      </c>
      <c r="F303" s="7">
        <f t="shared" si="133"/>
        <v>0.08</v>
      </c>
      <c r="G303" s="19">
        <v>0.34399999999999997</v>
      </c>
      <c r="H303" s="15">
        <f>AVERAGE(0.26,0.27)</f>
        <v>0.26500000000000001</v>
      </c>
      <c r="I303" s="7">
        <f t="shared" si="77"/>
        <v>0.41</v>
      </c>
      <c r="J303" s="7">
        <f t="shared" si="78"/>
        <v>0</v>
      </c>
      <c r="K303" s="7">
        <v>0.37</v>
      </c>
      <c r="L303" s="7">
        <f t="shared" si="131"/>
        <v>0.28000000000000003</v>
      </c>
      <c r="M303" s="7">
        <v>0.31</v>
      </c>
      <c r="N303"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0.2355714285714286</v>
      </c>
      <c r="O303"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0.18716728560076723</v>
      </c>
      <c r="P303" s="33">
        <f>IF(data[[#This Row],[Weighted_Avg]]&lt;&gt;"", IFERROR(AVERAGE(O291,O279,O267), ""), "")</f>
        <v>0.24154957582669068</v>
      </c>
      <c r="Q303" s="14" t="b">
        <f>IF(data[[#This Row],[Date]]&gt;MAX(data[Date])-750, TRUE, FALSE)</f>
        <v>1</v>
      </c>
      <c r="R303" s="34">
        <f t="shared" si="121"/>
        <v>0.60999999999999677</v>
      </c>
      <c r="S303" s="3">
        <v>0.35</v>
      </c>
      <c r="T303">
        <v>3.722</v>
      </c>
      <c r="V303" s="47">
        <v>21.099</v>
      </c>
      <c r="W303">
        <v>1.33</v>
      </c>
    </row>
    <row r="304" spans="1:23">
      <c r="A304" s="4">
        <v>46096</v>
      </c>
      <c r="B304">
        <f>YEAR(data[[#This Row],[Date]])</f>
        <v>2026</v>
      </c>
      <c r="C304" s="6">
        <f t="shared" si="130"/>
        <v>0.56999999999999995</v>
      </c>
      <c r="D304" s="7">
        <f t="shared" ref="D304:D307" si="134">_xlfn.LET(_xlpm.hdf,T302,_xlpm.sp,2.5, _xlpm.hdf_inc, 0.05, _xlpm.fs_inc_pennies, 1, IF(_xlpm.hdf&gt;_xlpm.sp,ROUNDDOWN((_xlpm.hdf-_xlpm.sp)/_xlpm.hdf_inc,0)+1, 0)/100)</f>
        <v>0.21</v>
      </c>
      <c r="E304" s="7">
        <f>IF(T302&gt;3.25, ROUNDDOWN((T302-3.25)/0.04, 0)+1, 0)/100</f>
        <v>7.0000000000000007E-2</v>
      </c>
      <c r="F304" s="7">
        <f t="shared" si="133"/>
        <v>0.06</v>
      </c>
      <c r="G304" s="19">
        <v>0.318</v>
      </c>
      <c r="H304" s="15">
        <f>AVERAGE(0.295, 0.31)</f>
        <v>0.30249999999999999</v>
      </c>
      <c r="I304" s="7">
        <f t="shared" si="77"/>
        <v>0.39</v>
      </c>
      <c r="J304" s="7">
        <f t="shared" si="78"/>
        <v>0</v>
      </c>
      <c r="K304" s="7">
        <v>0.35</v>
      </c>
      <c r="L304" s="7">
        <f t="shared" si="131"/>
        <v>0.26</v>
      </c>
      <c r="M304" s="7">
        <v>0.28999999999999998</v>
      </c>
      <c r="N304"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0.22578571428571428</v>
      </c>
      <c r="O304"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0.17280473101244256</v>
      </c>
      <c r="P304" s="33">
        <f>IF(data[[#This Row],[Weighted_Avg]]&lt;&gt;"", IFERROR(AVERAGE(O292,O280,O268), ""), "")</f>
        <v>0.23552698371981026</v>
      </c>
      <c r="Q304" s="14" t="b">
        <f>IF(data[[#This Row],[Date]]&gt;MAX(data[Date])-750, TRUE, FALSE)</f>
        <v>1</v>
      </c>
      <c r="R304" s="34">
        <f t="shared" si="121"/>
        <v>0.60499999999999687</v>
      </c>
      <c r="S304" s="3">
        <v>0.35</v>
      </c>
      <c r="T304">
        <v>4.9210000000000003</v>
      </c>
      <c r="V304" s="47">
        <v>20.989000000000001</v>
      </c>
      <c r="W304">
        <v>1.35</v>
      </c>
    </row>
    <row r="305" spans="1:23">
      <c r="A305" s="4">
        <v>46127</v>
      </c>
      <c r="B305">
        <f>YEAR(data[[#This Row],[Date]])</f>
        <v>2026</v>
      </c>
      <c r="C305" s="6">
        <f t="shared" si="130"/>
        <v>0.62</v>
      </c>
      <c r="D305" s="7">
        <f t="shared" si="134"/>
        <v>0.25</v>
      </c>
      <c r="E305" s="7">
        <f t="shared" ref="E305:E308" si="135">IF(T303&gt;3.25, ROUNDDOWN((T303-3.25)/0.04, 0)+1, 0)/100</f>
        <v>0.12</v>
      </c>
      <c r="F305" s="7">
        <f t="shared" si="133"/>
        <v>0.1</v>
      </c>
      <c r="G305" s="19">
        <v>0.37</v>
      </c>
      <c r="H305" s="15">
        <f>AVERAGE(0.445,0.62)</f>
        <v>0.53249999999999997</v>
      </c>
      <c r="I305" s="7">
        <f t="shared" si="77"/>
        <v>0.44</v>
      </c>
      <c r="J305" s="7">
        <f t="shared" si="78"/>
        <v>0</v>
      </c>
      <c r="K305" s="7">
        <v>0.4</v>
      </c>
      <c r="L305" s="7">
        <f t="shared" si="131"/>
        <v>0.31</v>
      </c>
      <c r="M305" s="7">
        <v>0.33</v>
      </c>
      <c r="N305"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0.29178571428571426</v>
      </c>
      <c r="O305"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0.22813265137228489</v>
      </c>
      <c r="P305" s="33">
        <f>IF(data[[#This Row],[Weighted_Avg]]&lt;&gt;"", IFERROR(AVERAGE(O293,O281,O269), ""), "")</f>
        <v>0.23685589891263967</v>
      </c>
      <c r="Q305" s="14" t="b">
        <f>IF(data[[#This Row],[Date]]&gt;MAX(data[Date])-750, TRUE, FALSE)</f>
        <v>1</v>
      </c>
      <c r="R305" s="34">
        <f t="shared" si="121"/>
        <v>0.59999999999999698</v>
      </c>
      <c r="S305" s="3">
        <v>0.375</v>
      </c>
      <c r="T305">
        <v>5.5010000000000003</v>
      </c>
      <c r="V305" s="47">
        <v>20.911999999999999</v>
      </c>
      <c r="W305">
        <v>1.38</v>
      </c>
    </row>
    <row r="306" spans="1:23">
      <c r="A306" s="4">
        <v>46157</v>
      </c>
      <c r="B306">
        <f>YEAR(data[[#This Row],[Date]])</f>
        <v>2026</v>
      </c>
      <c r="C306" s="6">
        <f t="shared" si="130"/>
        <v>0.92</v>
      </c>
      <c r="D306" s="7">
        <f t="shared" si="134"/>
        <v>0.49</v>
      </c>
      <c r="E306" s="7">
        <f t="shared" si="135"/>
        <v>0.42</v>
      </c>
      <c r="F306" s="7">
        <f t="shared" si="133"/>
        <v>0.34</v>
      </c>
      <c r="G306" s="19">
        <v>0.68200000000000005</v>
      </c>
      <c r="H306" s="15">
        <f>AVERAGE(0.685, 0.68)</f>
        <v>0.68250000000000011</v>
      </c>
      <c r="I306" s="7">
        <f t="shared" si="77"/>
        <v>0.74</v>
      </c>
      <c r="J306" s="7">
        <f t="shared" si="78"/>
        <v>0.3</v>
      </c>
      <c r="K306" s="7">
        <v>0.7</v>
      </c>
      <c r="L306" s="7">
        <f t="shared" si="131"/>
        <v>0.61</v>
      </c>
      <c r="M306" s="7">
        <v>0.56999999999999995</v>
      </c>
      <c r="N306"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0.51207142857142851</v>
      </c>
      <c r="O306"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0.45820077594345088</v>
      </c>
      <c r="P306" s="33">
        <f>IF(data[[#This Row],[Weighted_Avg]]&lt;&gt;"", IFERROR(AVERAGE(O294,O282,O270), ""), "")</f>
        <v>0.21934111673781564</v>
      </c>
      <c r="Q306" s="14" t="b">
        <f>IF(data[[#This Row],[Date]]&gt;MAX(data[Date])-750, TRUE, FALSE)</f>
        <v>1</v>
      </c>
      <c r="R306" s="34">
        <f t="shared" si="121"/>
        <v>0.66499999999999559</v>
      </c>
      <c r="S306" s="3">
        <v>0.375</v>
      </c>
      <c r="T306">
        <v>5.6</v>
      </c>
      <c r="V306" s="47">
        <v>22.71</v>
      </c>
      <c r="W306">
        <v>1.49</v>
      </c>
    </row>
    <row r="307" spans="1:23">
      <c r="A307" s="4">
        <v>46188</v>
      </c>
      <c r="B307">
        <f>YEAR(data[[#This Row],[Date]])</f>
        <v>2026</v>
      </c>
      <c r="C307" s="6">
        <f t="shared" si="130"/>
        <v>1.07</v>
      </c>
      <c r="D307" s="7">
        <f t="shared" si="134"/>
        <v>0.61</v>
      </c>
      <c r="E307" s="7">
        <f t="shared" si="135"/>
        <v>0.56999999999999995</v>
      </c>
      <c r="F307" s="7">
        <f t="shared" si="133"/>
        <v>0.46</v>
      </c>
      <c r="G307" s="19">
        <v>0.83799999999999997</v>
      </c>
      <c r="H307" s="15">
        <f>AVERAGE(0.69,0.69)</f>
        <v>0.69</v>
      </c>
      <c r="I307" s="7">
        <f t="shared" ref="I307" si="136">IF(T305&gt;2, ROUNDDOWN((T305-2)/0.04, 0)+1, 0)/100</f>
        <v>0.88</v>
      </c>
      <c r="J307" s="7">
        <f>IF(T305&gt;=3.75, ROUNDDOWN((T305-3.75)/0.04, 0)+1, 0)/100</f>
        <v>0.44</v>
      </c>
      <c r="K307" s="7">
        <v>0.85</v>
      </c>
      <c r="L307" s="7">
        <f t="shared" si="131"/>
        <v>0.75</v>
      </c>
      <c r="M307" s="7">
        <v>0.69</v>
      </c>
      <c r="N307" s="15">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0.67400000000000004</v>
      </c>
      <c r="O307"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0.59324595913314582</v>
      </c>
      <c r="P307" s="33">
        <f>IF(data[[#This Row],[Weighted_Avg]]&lt;&gt;"", IFERROR(AVERAGE(O295,O283,O271), ""), "")</f>
        <v>0.2068555259199861</v>
      </c>
      <c r="Q307" s="14" t="b">
        <f>IF(data[[#This Row],[Date]]&gt;MAX(data[Date])-750, TRUE, FALSE)</f>
        <v>1</v>
      </c>
      <c r="R307" s="34">
        <f t="shared" si="121"/>
        <v>0.66499999999999559</v>
      </c>
      <c r="S307" s="3">
        <v>0.40500000000000003</v>
      </c>
      <c r="T307">
        <v>5.024</v>
      </c>
      <c r="V307" s="47">
        <v>22.763000000000002</v>
      </c>
      <c r="W307">
        <v>1.5</v>
      </c>
    </row>
    <row r="308" spans="1:23">
      <c r="A308" s="4">
        <v>46218</v>
      </c>
      <c r="B308">
        <f>YEAR(data[[#This Row],[Date]])</f>
        <v>2026</v>
      </c>
      <c r="C308" s="6">
        <f t="shared" ref="C308" si="137">IF(T306&gt;1.25, ROUNDDOWN((T306-1.25)/0.04, 0)+1, 0)/100</f>
        <v>1.0900000000000001</v>
      </c>
      <c r="D308" s="7">
        <f>_xlfn.LET(_xlpm.hdf,T306,_xlpm.sp,2.5, _xlpm.hdf_inc, 0.05, _xlpm.fs_inc_pennies, 1, IF(_xlpm.hdf&gt;_xlpm.sp,ROUNDDOWN((_xlpm.hdf-_xlpm.sp)/_xlpm.hdf_inc,0)+1, 0)/100)</f>
        <v>0.63</v>
      </c>
      <c r="E308" s="7">
        <f t="shared" si="135"/>
        <v>0.59</v>
      </c>
      <c r="F308" s="7">
        <f t="shared" ref="F308" si="138">IF(T306&gt;3.25, ROUNDDOWN((T306-3.25)/0.05, 0)+1, 0)/100</f>
        <v>0.48</v>
      </c>
      <c r="G308" s="19">
        <v>0.86399999999999999</v>
      </c>
      <c r="H308" s="15">
        <f>AVERAGE(0.635,0.565)</f>
        <v>0.6</v>
      </c>
      <c r="I308" s="7">
        <f t="shared" si="77"/>
        <v>0.91</v>
      </c>
      <c r="J308" s="7">
        <f t="shared" si="78"/>
        <v>0.47</v>
      </c>
      <c r="K308" s="7">
        <v>0.87</v>
      </c>
      <c r="L308" s="7">
        <f t="shared" si="131"/>
        <v>0.78</v>
      </c>
      <c r="M308" s="7">
        <v>0.71</v>
      </c>
      <c r="N308" s="10">
        <f>IF(
    COUNTBLANK(data[[#This Row],[Date]:[UP]])=0,
    AVERAGE(
        IF(data[[#This Row],[Date]]&gt;=DATE(2025, 7, 1), data[[#This Row],[BNSF - 3.25 sp (B)]],
        IF(data[[#This Row],[Date]]&gt;=DATE(2022, 1, 1), data[[#This Row],[BNSF - 3.25 sp (A)]],
        IF(data[[#This Row],[Date]]&gt;=DATE(2015, 2, 1), 0,
        IF(data[[#This Row],[Date]]&gt;DATE(2011, 3, 1), data[[#This Row],[BNSF - 2.50 sp]],
        data[[#This Row],[BNSF - 1.25 sp]])))),
        data[[#This Row],[CN]],
        data[[#This Row],[CP]],
        IF(data[[#This Row],[Date]]&gt;= DATE(2026, 6, 1), data[[#This Row],[CSXT - 8662]],
        IF(data[[#This Row],[Date]]&gt;=DATE(2022, 1, 1), 0,
        IF(data[[#This Row],[Date]]&gt;= DATE(2015, 1, 1), data[[#This Row],[CSXT - 8662]],
        data[[#This Row],[CSXT - 8661]]))),
        data[[#This Row],[KCS]],
        data[[#This Row],[NS]],
        data[[#This Row],[UP]]), "")</f>
        <v>0.68200000000000005</v>
      </c>
      <c r="O308" s="15">
        <f>_xlfn.LET(
_xlpm.bnsf_w, INDEX(Weights!$B:$B, MATCH(YEAR(data[[#This Row],[Date]]), Weights!$A:$A)),
_xlpm.cn_w, INDEX(Weights!$C:$C, MATCH(YEAR(data[[#This Row],[Date]]), Weights!$A:$A)),
_xlpm.cp_w, INDEX(Weights!$D:$D, MATCH(YEAR(data[[#This Row],[Date]]), Weights!$A:$A)),
_xlpm.csx_w, INDEX(Weights!$E:$E, MATCH(YEAR(data[[#This Row],[Date]]), Weights!$A:$A)),
_xlpm.kcs_w, INDEX(Weights!$F:$F, MATCH(YEAR(data[[#This Row],[Date]]), Weights!$A:$A)),
_xlpm.ns_w, INDEX(Weights!$G:$G, MATCH(YEAR(data[[#This Row],[Date]]), Weights!$A:$A)),
_xlpm.up_w, INDEX(Weights!$H:$H, MATCH(YEAR(data[[#This Row],[Date]]), Weights!$A:$A)),
_xlpm.cpkc_w, INDEX(Weights!$I:$I, MATCH(YEAR(data[[#This Row],[Date]]), Weights!$A:$A)),
_xlpm.cp_adj_w, _xlpm.cp_w + (_xlpm.cp_w/(_xlpm.cp_w + _xlpm.kcs_w) * _xlpm.cpkc_w),
_xlpm.kcs_adj_w, _xlpm.kcs_w + (_xlpm.kcs_w/(_xlpm.cp_w + _xlpm.kcs_w) * _xlpm.cpkc_w),
 IF(data[[#This Row],[N_America]]&lt;&gt;"",
    IFERROR(
        SUM(
            IF(data[[#This Row],[Date]]&gt;=DATE(2025, 7, 1), data[[#This Row],[BNSF - 3.25 sp (B)]],
            IF(data[[#This Row],[Date]]&gt;=DATE(2022, 1, 1), data[[#This Row],[BNSF - 3.25 sp (A)]],
            IF(data[[#This Row],[Date]]&gt;=DATE(2015, 2, 1), 0,
            IF(data[[#This Row],[Date]]&gt;DATE(2011, 3, 1), data[[#This Row],[BNSF - 2.50 sp]],
            data[[#This Row],[BNSF - 1.25 sp]])))) * _xlpm.bnsf_w,
            data[[#This Row],[CN]]*_xlpm.cn_w,
            data[[#This Row],[CP]]*IF(data[[#This Row],[Date]] &gt; DATE(2026, 1, 1), _xlpm.cp_adj_w, _xlpm.cp_w),
            IF(data[[#This Row],[Date]]&gt;= DATE(2026, 6, 1), data[[#This Row],[CSXT - 8662]],
            IF(data[[#This Row],[Date]]&gt;=DATE(2022, 1, 1), 0,
            IF(data[[#This Row],[Date]]&gt;= DATE(2015, 1, 1), data[[#This Row],[CSXT - 8662]],
            data[[#This Row],[CSXT - 8661]]))) * _xlpm.csx_w,
            data[[#This Row],[KCS]]*IF(data[[#This Row],[Date]] &gt; DATE(2026, 1, 1), _xlpm.kcs_adj_w, _xlpm.kcs_w),
            data[[#This Row],[NS]]*_xlpm.ns_w,
            data[[#This Row],[UP]]*_xlpm.up_w
      ), ""),
""))</f>
        <v>0.60611246745960567</v>
      </c>
      <c r="P308" s="33">
        <f>IF(data[[#This Row],[Weighted_Avg]]&lt;&gt;"", IFERROR(AVERAGE(O296,O284,O272), ""), "")</f>
        <v>0.18729729436937878</v>
      </c>
      <c r="Q308" s="14" t="b">
        <f>IF(data[[#This Row],[Date]]&gt;MAX(data[Date])-750, TRUE, FALSE)</f>
        <v>1</v>
      </c>
      <c r="R308" s="34">
        <f t="shared" si="121"/>
        <v>0.63499999999999623</v>
      </c>
      <c r="S308" s="3">
        <v>0.40500000000000003</v>
      </c>
      <c r="V308" s="47">
        <v>21.850999999999999</v>
      </c>
      <c r="W308">
        <v>1.45</v>
      </c>
    </row>
    <row r="309" spans="1:23">
      <c r="B309" s="43"/>
      <c r="H309" s="43"/>
    </row>
    <row r="310" spans="1:23">
      <c r="B310" s="43"/>
      <c r="H310" s="43"/>
      <c r="I310" s="6"/>
      <c r="J310" s="6"/>
      <c r="L310" s="6"/>
    </row>
    <row r="311" spans="1:23">
      <c r="B311" s="43"/>
      <c r="H311" s="43"/>
      <c r="M311" s="6"/>
      <c r="R311" s="6"/>
      <c r="S311" s="15"/>
    </row>
    <row r="312" spans="1:23">
      <c r="B312" s="43"/>
      <c r="H312" s="43"/>
      <c r="M312" s="6"/>
      <c r="R312" s="6"/>
      <c r="S312" s="15"/>
    </row>
    <row r="313" spans="1:23">
      <c r="B313" s="43"/>
      <c r="I313" s="15"/>
      <c r="J313" s="15"/>
      <c r="M313" s="6"/>
      <c r="N313"/>
      <c r="R313" s="6"/>
      <c r="S313" s="15"/>
    </row>
    <row r="314" spans="1:23">
      <c r="B314" s="43"/>
      <c r="I314" s="15"/>
      <c r="J314" s="15"/>
      <c r="M314" s="6"/>
      <c r="N314"/>
      <c r="R314" s="6"/>
      <c r="S314" s="15"/>
    </row>
    <row r="315" spans="1:23">
      <c r="B315" s="43"/>
      <c r="I315" s="15"/>
      <c r="J315" s="15"/>
      <c r="M315" s="6"/>
      <c r="N315"/>
      <c r="R315" s="6"/>
      <c r="S315" s="15"/>
    </row>
    <row r="316" spans="1:23">
      <c r="B316" s="43"/>
      <c r="I316" s="15"/>
      <c r="J316" s="15"/>
      <c r="M316" s="6"/>
      <c r="N316"/>
      <c r="R316" s="6"/>
      <c r="S316" s="15"/>
    </row>
    <row r="317" spans="1:23">
      <c r="B317" s="43"/>
      <c r="I317" s="15"/>
      <c r="J317" s="15"/>
      <c r="M317" s="15"/>
      <c r="N317"/>
      <c r="R317" s="6"/>
      <c r="S317" s="15"/>
    </row>
    <row r="318" spans="1:23">
      <c r="B318" s="43"/>
      <c r="I318" s="15"/>
      <c r="J318" s="15"/>
      <c r="M318" s="15"/>
      <c r="N318"/>
      <c r="R318" s="6"/>
      <c r="S318" s="15"/>
    </row>
    <row r="319" spans="1:23">
      <c r="B319" s="43"/>
      <c r="I319" s="15"/>
      <c r="J319" s="15"/>
      <c r="M319" s="15"/>
      <c r="N319"/>
      <c r="R319" s="6"/>
      <c r="S319" s="15"/>
    </row>
    <row r="320" spans="1:23">
      <c r="B320" s="43"/>
      <c r="I320" s="15"/>
      <c r="J320" s="15"/>
      <c r="M320" s="15"/>
      <c r="N320"/>
      <c r="R320" s="6"/>
      <c r="S320" s="15"/>
    </row>
    <row r="321" spans="2:19">
      <c r="B321" s="43"/>
      <c r="I321" s="15"/>
      <c r="J321" s="15"/>
      <c r="M321" s="15"/>
      <c r="N321"/>
      <c r="R321" s="6"/>
      <c r="S321" s="15"/>
    </row>
    <row r="322" spans="2:19">
      <c r="B322" s="43"/>
      <c r="I322" s="15"/>
      <c r="J322" s="15"/>
      <c r="M322" s="15"/>
      <c r="N322"/>
      <c r="R322" s="6"/>
      <c r="S322" s="15"/>
    </row>
    <row r="323" spans="2:19">
      <c r="B323" s="43"/>
      <c r="I323" s="15"/>
      <c r="J323" s="15"/>
      <c r="M323" s="15"/>
      <c r="N323"/>
      <c r="R323" s="6"/>
      <c r="S323" s="15"/>
    </row>
    <row r="324" spans="2:19">
      <c r="B324" s="43"/>
      <c r="I324" s="15"/>
      <c r="J324" s="15"/>
      <c r="M324" s="15"/>
      <c r="N324"/>
      <c r="R324" s="6"/>
      <c r="S324" s="15"/>
    </row>
    <row r="325" spans="2:19">
      <c r="B325" s="43"/>
      <c r="I325" s="15"/>
      <c r="J325" s="15"/>
      <c r="M325" s="15"/>
      <c r="N325"/>
    </row>
    <row r="326" spans="2:19">
      <c r="I326" s="15"/>
      <c r="J326" s="15"/>
      <c r="M326" s="15"/>
      <c r="N326"/>
    </row>
    <row r="327" spans="2:19">
      <c r="I327" s="15"/>
      <c r="J327" s="15"/>
      <c r="M327" s="15"/>
      <c r="N327"/>
    </row>
    <row r="328" spans="2:19">
      <c r="I328" s="15"/>
      <c r="J328" s="15"/>
      <c r="M328" s="15"/>
      <c r="N328"/>
    </row>
    <row r="329" spans="2:19">
      <c r="I329" s="15"/>
      <c r="J329" s="15"/>
      <c r="M329" s="15"/>
      <c r="N329"/>
    </row>
  </sheetData>
  <sortState xmlns:xlrd2="http://schemas.microsoft.com/office/spreadsheetml/2017/richdata2" ref="Q311:S324">
    <sortCondition descending="1" ref="Q311:Q324"/>
  </sortState>
  <phoneticPr fontId="3" type="noConversion"/>
  <pageMargins left="0.75" right="0.75" top="1" bottom="1" header="0.5" footer="0.5"/>
  <pageSetup scale="70" orientation="landscape" r:id="rId1"/>
  <headerFooter alignWithMargins="0"/>
  <ignoredErrors>
    <ignoredError sqref="H235" formula="1"/>
  </ignoredErrors>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2179-5662-4D0A-8E10-65E39485A793}">
  <dimension ref="A1:U29"/>
  <sheetViews>
    <sheetView tabSelected="1" zoomScaleNormal="100" workbookViewId="0">
      <selection activeCell="N19" sqref="N19"/>
    </sheetView>
  </sheetViews>
  <sheetFormatPr defaultRowHeight="12.75"/>
  <cols>
    <col min="10" max="10" width="12.140625" customWidth="1"/>
    <col min="11" max="11" width="4.85546875" customWidth="1"/>
    <col min="13" max="13" width="15" bestFit="1" customWidth="1"/>
    <col min="14" max="14" width="11.5703125" bestFit="1" customWidth="1"/>
    <col min="15" max="15" width="7.5703125" bestFit="1" customWidth="1"/>
    <col min="16" max="16" width="13.7109375" bestFit="1" customWidth="1"/>
    <col min="17" max="17" width="16.85546875" bestFit="1" customWidth="1"/>
    <col min="18" max="18" width="53.42578125" customWidth="1"/>
    <col min="19" max="19" width="13.85546875" bestFit="1" customWidth="1"/>
    <col min="20" max="20" width="29.42578125" bestFit="1" customWidth="1"/>
    <col min="21" max="21" width="23.42578125" bestFit="1" customWidth="1"/>
  </cols>
  <sheetData>
    <row r="1" spans="1:21">
      <c r="A1" s="52"/>
      <c r="S1" s="20" t="s">
        <v>24</v>
      </c>
      <c r="T1" t="s">
        <v>34</v>
      </c>
    </row>
    <row r="2" spans="1:21" ht="14.25">
      <c r="A2" s="53"/>
    </row>
    <row r="3" spans="1:21">
      <c r="S3" s="20" t="s">
        <v>15</v>
      </c>
      <c r="T3" t="s">
        <v>35</v>
      </c>
      <c r="U3" t="s">
        <v>36</v>
      </c>
    </row>
    <row r="4" spans="1:21" ht="13.5" thickBot="1">
      <c r="S4" s="12">
        <v>45488</v>
      </c>
      <c r="T4">
        <v>0.20042805863374394</v>
      </c>
      <c r="U4">
        <v>0.28551128378130597</v>
      </c>
    </row>
    <row r="5" spans="1:21" ht="15">
      <c r="L5" s="6"/>
      <c r="M5" s="26">
        <f>YEAR(MAX(data[Date]))</f>
        <v>2026</v>
      </c>
      <c r="N5" s="30" t="s">
        <v>37</v>
      </c>
      <c r="O5" s="35" t="s">
        <v>38</v>
      </c>
      <c r="P5" s="35" t="s">
        <v>39</v>
      </c>
      <c r="Q5" s="31" t="s">
        <v>40</v>
      </c>
      <c r="S5" s="12">
        <v>45519</v>
      </c>
      <c r="T5">
        <v>0.18193521294322956</v>
      </c>
      <c r="U5">
        <v>0.2900073134798678</v>
      </c>
    </row>
    <row r="6" spans="1:21" ht="15">
      <c r="M6" s="27" t="str">
        <f>TEXT(MAX(data[Date]), "mmmm")</f>
        <v>July</v>
      </c>
      <c r="N6" s="24">
        <f>ROUND(INDEX(data[Weighted_Avg], MATCH(MAX(data[Date]), data[Date])), 2)</f>
        <v>0.61</v>
      </c>
      <c r="O6" s="36"/>
      <c r="P6" s="39"/>
      <c r="Q6" s="22"/>
      <c r="R6" s="3"/>
      <c r="S6" s="12">
        <v>45550</v>
      </c>
      <c r="T6">
        <v>0.19988323044983788</v>
      </c>
      <c r="U6">
        <v>0.27800562895028708</v>
      </c>
    </row>
    <row r="7" spans="1:21" ht="15">
      <c r="M7" s="28" t="str">
        <f>TEXT(DATE(YEAR(MAX(data[Date])), MONTH(MAX(data[Date]))-1, 1), "mmmm")</f>
        <v>June</v>
      </c>
      <c r="N7" s="24">
        <f>ROUND(INDEX(data[Weighted_Avg],MATCH(MAX(data[Date]),data[Date])-1), 2)</f>
        <v>0.59</v>
      </c>
      <c r="O7" s="36">
        <f>ROUND(N6-N7, 2)</f>
        <v>0.02</v>
      </c>
      <c r="P7" s="39" t="str">
        <f>IF(O7&gt;=0.01, "up "&amp;100*ROUND(ABS(O7),3)&amp;IF(100*ROUND(ABS(O7),3)=1, " cent", " cents"), IF(O7&lt;=-0.01, "down "&amp;100*ROUND(ABS(O7),3)&amp;IF(OR(O7&gt;0.01, O7&lt;-0.01), " cents", " cent"), "unchanged"))</f>
        <v>up 2 cents</v>
      </c>
      <c r="Q7" s="22" t="str">
        <f>IF(O7&gt;=0.01, "up "&amp;100*ROUND(ABS((N6/N7)-1), 2)&amp;" percent", IF(O7&lt;=-0.01, "down "&amp;100*ROUND(ABS((N6/N7)-1), 2)&amp;" percent", "unchanged"))</f>
        <v>up 3 percent</v>
      </c>
      <c r="R7" s="3"/>
      <c r="S7" s="12">
        <v>45580</v>
      </c>
      <c r="T7">
        <v>0.17770407371369368</v>
      </c>
      <c r="U7">
        <v>0.28379346863302801</v>
      </c>
    </row>
    <row r="8" spans="1:21" ht="15">
      <c r="M8" s="28" t="str">
        <f>M6&amp;" "&amp;M5-1</f>
        <v>July 2025</v>
      </c>
      <c r="N8" s="24">
        <f>ROUND(INDEX(data[Weighted_Avg],MATCH(MAX(data[Date]),data[Date])-12), 2)</f>
        <v>0.14000000000000001</v>
      </c>
      <c r="O8" s="36">
        <f>ROUND(N6-N8, 2)</f>
        <v>0.47</v>
      </c>
      <c r="P8" s="39" t="str">
        <f>IF(O8&gt;=0.01, "up "&amp;100*ROUND(ABS(O8),3)&amp;IF(100*ROUND(ABS(O8),3)=1, " cent", " cents"), IF(O8&lt;=-0.01, "down "&amp;100*ROUND(ABS(O8),3)&amp;IF(100*ROUND(ABS(O8),3)=1, " cent", " cents"), "unchanged"))</f>
        <v>up 47 cents</v>
      </c>
      <c r="Q8" s="22" t="str">
        <f>IF(O8&gt;=0.01,"up "&amp;100*ROUND(ABS((N6/N8)-1), 2)&amp;" percent", IF(O8&lt;=-0.01, "down "&amp;100*ROUND(ABS((N6/N8)-1), 2)&amp;" percent", "unchanged"))</f>
        <v>up 336 percent</v>
      </c>
      <c r="R8" s="3"/>
      <c r="S8" s="12">
        <v>45611</v>
      </c>
      <c r="T8">
        <v>0.15051035229882567</v>
      </c>
      <c r="U8">
        <v>0.29427402892354143</v>
      </c>
    </row>
    <row r="9" spans="1:21" ht="15.75" thickBot="1">
      <c r="M9" s="29" t="s">
        <v>41</v>
      </c>
      <c r="N9" s="25">
        <f>ROUND(INDEX(data[3_Yr_Monthly_Avg], MATCH(MAX(data[Date]), data[Date])), 2)</f>
        <v>0.19</v>
      </c>
      <c r="O9" s="37">
        <f>ROUND(N6-N9, 2)</f>
        <v>0.42</v>
      </c>
      <c r="P9" s="40" t="str">
        <f>IF(O9&gt;=0.01, "up "&amp;100*ROUND(ABS(O9),3)&amp;IF(100*ROUND(ABS(O9),3)=1, " cent", " cents"), IF(O9&lt;=-0.01, "down "&amp;100*ROUND(ABS(O9),3)&amp;" cents", "unchanged"))</f>
        <v>up 42 cents</v>
      </c>
      <c r="Q9" s="23" t="str">
        <f>IF(O9&gt;=0.01,"up "&amp;100*ROUND(ABS((N6/N9)-1),2)&amp;" percent",IF(O9&lt;=-0.01,"down "&amp;100*ROUND(ABS((N6/N9)-1),2)&amp;" percent","unchanged"))</f>
        <v>up 221 percent</v>
      </c>
      <c r="S9" s="12">
        <v>45641</v>
      </c>
      <c r="T9">
        <v>0.15497829007236641</v>
      </c>
      <c r="U9">
        <v>0.31320937158764517</v>
      </c>
    </row>
    <row r="10" spans="1:21">
      <c r="S10" s="12">
        <v>45672</v>
      </c>
      <c r="T10">
        <v>0.12598614434761815</v>
      </c>
      <c r="U10">
        <v>0.31257942428629826</v>
      </c>
    </row>
    <row r="11" spans="1:21">
      <c r="S11" s="12">
        <v>45703</v>
      </c>
      <c r="T11">
        <v>0.12381468584786162</v>
      </c>
      <c r="U11">
        <v>0.25645478889000878</v>
      </c>
    </row>
    <row r="12" spans="1:21">
      <c r="M12" t="str">
        <f>M6&amp;" "&amp;M5&amp;": $"&amp;TEXT(ROUND(N6,2), "0.00")&amp;"/mile, "&amp;P7&amp;" from last month's surcharge of $"&amp;ROUND(N7, 2)&amp;"/mile; "&amp;P8&amp;" from the "&amp;M6&amp;" "&amp;M5-1&amp;" surcharge of $"&amp;ROUND(N8, 2)&amp;"/mile; and "&amp;P9&amp;" from the "&amp;M6&amp;" prior 3-year average of $"&amp;ROUND(N9, 2)&amp;"/mile."</f>
        <v>July 2026: $0.61/mile, up 2 cents from last month's surcharge of $0.59/mile; up 47 cents from the July 2025 surcharge of $0.14/mile; and up 42 cents from the July prior 3-year average of $0.19/mile.</v>
      </c>
      <c r="S12" s="12">
        <v>45731</v>
      </c>
      <c r="T12">
        <v>0.14686455995827363</v>
      </c>
      <c r="U12">
        <v>0.24977907832445093</v>
      </c>
    </row>
    <row r="13" spans="1:21">
      <c r="N13" s="32"/>
      <c r="O13" s="32"/>
      <c r="P13" s="32"/>
      <c r="S13" s="12">
        <v>45762</v>
      </c>
      <c r="T13">
        <v>0.15386153791503276</v>
      </c>
      <c r="U13">
        <v>0.27201688207603936</v>
      </c>
    </row>
    <row r="14" spans="1:21">
      <c r="N14" s="38"/>
      <c r="O14" s="32"/>
      <c r="P14" s="32"/>
      <c r="S14" s="12">
        <v>45792</v>
      </c>
      <c r="T14">
        <v>0.13885401919621274</v>
      </c>
      <c r="U14">
        <v>0.3254483168515579</v>
      </c>
    </row>
    <row r="15" spans="1:21">
      <c r="S15" s="12">
        <v>45823</v>
      </c>
      <c r="T15">
        <v>0.13356230105026401</v>
      </c>
      <c r="U15">
        <v>0.31706145254917112</v>
      </c>
    </row>
    <row r="16" spans="1:21">
      <c r="A16" s="13"/>
      <c r="N16" s="48"/>
      <c r="O16" s="32"/>
      <c r="P16" s="32"/>
      <c r="S16" s="12">
        <v>45853</v>
      </c>
      <c r="T16">
        <v>0.14081762124995451</v>
      </c>
      <c r="U16">
        <v>0.32326531431567868</v>
      </c>
    </row>
    <row r="17" spans="1:21">
      <c r="A17" s="13"/>
      <c r="N17" s="32"/>
      <c r="O17" s="32"/>
      <c r="P17" s="32"/>
      <c r="S17" s="12">
        <v>45884</v>
      </c>
      <c r="T17">
        <v>0.16012615384348797</v>
      </c>
      <c r="U17">
        <v>0.32018085426598897</v>
      </c>
    </row>
    <row r="18" spans="1:21">
      <c r="A18" s="13"/>
      <c r="S18" s="12">
        <v>45915</v>
      </c>
      <c r="T18">
        <v>0.19428898028567321</v>
      </c>
      <c r="U18">
        <v>0.31296150829385394</v>
      </c>
    </row>
    <row r="19" spans="1:21" ht="15" customHeight="1">
      <c r="A19" s="13"/>
      <c r="S19" s="12">
        <v>45945</v>
      </c>
      <c r="T19">
        <v>0.18585248564789386</v>
      </c>
      <c r="U19">
        <v>0.3102547600455689</v>
      </c>
    </row>
    <row r="20" spans="1:21">
      <c r="A20" s="13"/>
      <c r="S20" s="12">
        <v>45976</v>
      </c>
      <c r="T20">
        <v>0.18549049893171465</v>
      </c>
      <c r="U20">
        <v>0.30966273146105266</v>
      </c>
    </row>
    <row r="21" spans="1:21">
      <c r="A21" s="13"/>
      <c r="S21" s="12">
        <v>46006</v>
      </c>
      <c r="T21">
        <v>0.17756955378075978</v>
      </c>
      <c r="U21">
        <v>0.32254817851875489</v>
      </c>
    </row>
    <row r="22" spans="1:21" ht="12.75" customHeight="1">
      <c r="A22" s="13"/>
      <c r="S22" s="12">
        <v>46037</v>
      </c>
      <c r="T22">
        <v>0.22601721275782632</v>
      </c>
      <c r="U22">
        <v>0.29341205679829535</v>
      </c>
    </row>
    <row r="23" spans="1:21">
      <c r="A23" s="54"/>
      <c r="S23" s="12">
        <v>46068</v>
      </c>
      <c r="T23">
        <v>0.18716728560076723</v>
      </c>
      <c r="U23">
        <v>0.24154957582669068</v>
      </c>
    </row>
    <row r="24" spans="1:21">
      <c r="A24" s="13"/>
      <c r="S24" s="12">
        <v>46096</v>
      </c>
      <c r="T24">
        <v>0.17280473101244256</v>
      </c>
      <c r="U24">
        <v>0.23552698371981026</v>
      </c>
    </row>
    <row r="25" spans="1:21">
      <c r="A25" s="13"/>
      <c r="S25" s="12">
        <v>46127</v>
      </c>
      <c r="T25">
        <v>0.22813265137228489</v>
      </c>
      <c r="U25">
        <v>0.23685589891263967</v>
      </c>
    </row>
    <row r="26" spans="1:21">
      <c r="A26" s="13"/>
      <c r="S26" s="12">
        <v>46157</v>
      </c>
      <c r="T26">
        <v>0.45820077594345088</v>
      </c>
      <c r="U26">
        <v>0.21934111673781564</v>
      </c>
    </row>
    <row r="27" spans="1:21">
      <c r="S27" s="12">
        <v>46188</v>
      </c>
      <c r="T27">
        <v>0.59324595913314582</v>
      </c>
      <c r="U27">
        <v>0.2068555259199861</v>
      </c>
    </row>
    <row r="28" spans="1:21">
      <c r="C28" s="6"/>
      <c r="D28" s="6"/>
      <c r="S28" s="12">
        <v>46218</v>
      </c>
      <c r="T28">
        <v>0.60611246745960567</v>
      </c>
      <c r="U28">
        <v>0.18729729436937878</v>
      </c>
    </row>
    <row r="29" spans="1:21">
      <c r="S29" s="12" t="s">
        <v>17</v>
      </c>
      <c r="T29">
        <v>5.4042088434459679</v>
      </c>
      <c r="U29">
        <v>6.9978528375187166</v>
      </c>
    </row>
  </sheetData>
  <pageMargins left="0.75" right="0.75" top="1" bottom="1" header="0.5" footer="0.5"/>
  <pageSetup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e a 1 2 d 0 8 b - 0 2 9 a - 4 2 4 e - 9 6 3 0 - d 0 a 6 d 8 1 3 d 2 8 0 "   x m l n s = " h t t p : / / s c h e m a s . m i c r o s o f t . c o m / D a t a M a s h u p " > A A A A A F A E A A B Q S w M E F A A C A A g A E l a e W / l h B / S j A A A A 9 g A A A B I A H A B D b 2 5 m a W c v U G F j a 2 F n Z S 5 4 b W w g o h g A K K A U A A A A A A A A A A A A A A A A A A A A A A A A A A A A h Y + x D o I w F E V / h X S n L e h A y K M M r p K Y E I 1 r U y o 2 w s P Q Y v k 3 B z / J X x C j q J v j P f c M 9 9 6 v N 8 j H t g k u u r e m w 4 x E l J N A o + o q g 3 V G B n c I E 5 I L 2 E h 1 k r U O J h l t O t o q I 0 f n z i l j 3 n v q F 7 T r a x Z z H r F 9 s S 7 V U b e S f G T z X w 4 N W i d R a S J g 9 x o j Y h o t E x r z a R O w G U J h 8 C v E U / d s f y C s h s Y N v R Y a w 2 0 J b I 7 A 3 h / E A 1 B L A w Q U A A I A C A A S V p 5 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l a e W 8 f k Q r h L A Q A A A g I A A B M A H A B G b 3 J t d W x h c y 9 T Z W N 0 a W 9 u M S 5 t I K I Y A C i g F A A A A A A A A A A A A A A A A A A A A A A A A A A A A G 1 Q X U v D Q B B 8 D + Q / H D E 0 C c T E g h 9 g C V J S U F / 8 o A U f R O S a r O n h 5 S 7 u b a q h 9 L 9 7 a V p E 6 L 7 c 3 c 7 u 3 M w Y K E h o x e b D O Z 6 4 j u u Y F U c o 2 X M L 2 I 1 Z x i S Q 6 z B b c 9 1 i A b a T m 3 U y 0 0 V b g 6 L w B Z Z J r h X Z u w m 9 F V F j r t O U V 4 R c m U Y j J a 0 p e V L p d Y p g d h Q p L a + + T j / V h U g K s 7 7 x D U g r I O u A Y 8 y Q C 4 m a l z E z b R 0 W H K V 9 m G j k f 6 8 A I S t 0 X e t S U J c F t 3 Z U B W z 6 M G P U N Z A F j y g q o T h B G Y z 8 C n X b D J w H y p E v R S 0 o G 5 / Z 8 q I o H n y d e E + o a 2 3 X 2 B 3 w E t B 4 1 u S C L y U k e 2 T f D 4 c I Y v a 6 7 0 + l n B d c c j Q Z Y Q t v f 5 T 5 i q v K M i 6 s s j + 6 R R / K h 8 Y 6 1 7 K t V Q + a 8 M j / 8 W b j 9 d K 9 m N 0 r u j x P + s l t z D b e w Y t F e t O M 4 I d 2 g E 3 r / Z D W / 7 V t 5 D p C H R U 2 + Q V Q S w E C L Q A U A A I A C A A S V p 5 b + W E H 9 K M A A A D 2 A A A A E g A A A A A A A A A A A A A A A A A A A A A A Q 2 9 u Z m l n L 1 B h Y 2 t h Z 2 U u e G 1 s U E s B A i 0 A F A A C A A g A E l a e W w / K 6 a u k A A A A 6 Q A A A B M A A A A A A A A A A A A A A A A A 7 w A A A F t D b 2 5 0 Z W 5 0 X 1 R 5 c G V z X S 5 4 b W x Q S w E C L Q A U A A I A C A A S V p 5 b x + R C u E s B A A A C A g A A E w A A A A A A A A A A A A A A A A D g A Q A A R m 9 y b X V s Y X M v U 2 V j d G l v b j E u b V B L B Q Y A A A A A A w A D A M I A A A B 4 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U C g A A A A A A A L I 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R d W V y e T E 8 L 0 l 0 Z W 1 Q Y X R o P j w v S X R l b U x v Y 2 F 0 a W 9 u P j x T d G F i b G V F b n R y a W V z P j x F b n R y e S B U e X B l P S J J c 1 B y a X Z h d G U i I F Z h b H V l P S J s M C I g L z 4 8 R W 5 0 c n k g V H l w Z T 0 i U X V l c n l J R C I g V m F s d W U 9 I n M 5 O T J k Z m R k O C 1 m N z Z i L T R k Y T Q t O T M 3 O S 0 5 Z G M 3 Y 2 U z M W E 3 N 2 I i I C 8 + P E V u d H J 5 I F R 5 c G U 9 I k Z p b G x F b m F i b G V k I i B W Y W x 1 Z T 0 i b D A i I C 8 + P E V u d H J 5 I F R 5 c G U 9 I k Z p b G x P Y m p l Y 3 R U e X B l I i B W Y W x 1 Z T 0 i c 1 B p d m 9 0 V G F i b G U 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S Z W N v d m V y e V R h c m d l d F N o Z W V 0 I i B W Y W x 1 Z T 0 i c 1 d l a W d o d H M i I C 8 + P E V u d H J 5 I F R 5 c G U 9 I l J l Y 2 9 2 Z X J 5 V G F y Z 2 V 0 Q 2 9 s d W 1 u I i B W Y W x 1 Z T 0 i b D I i I C 8 + P E V u d H J 5 I F R 5 c G U 9 I l J l Y 2 9 2 Z X J 5 V G F y Z 2 V 0 U m 9 3 I i B W Y W x 1 Z T 0 i b D E 5 I i A v P j x F b n R y e S B U e X B l P S J Q a X Z v d E 9 i a m V j d E 5 h b W U i I F Z h b H V l P S J z V 2 V p Z 2 h 0 c y F Q a X Z v d F R h Y m x l M y I g L z 4 8 R W 5 0 c n k g V H l w Z T 0 i R m l s b G V k Q 2 9 t c G x l d G V S Z X N 1 b H R U b 1 d v c m t z a G V l d C I g V m F s d W U 9 I m w w I i A v P j x F b n R y e S B U e X B l P S J G a W x s R X J y b 3 J D b 3 V u d C I g V m F s d W U 9 I m w w I i A v P j x F b n R y e S B U e X B l P S J G a W x s T G F z d F V w Z G F 0 Z W Q i I F Z h b H V l P S J k M j A y N S 0 x M i 0 z M F Q x N T o 0 N z o 0 N y 4 2 M z A z N T c x W i I g L z 4 8 R W 5 0 c n k g V H l w Z T 0 i R m l s b E N v b H V t b l R 5 c G V z I i B W Y W x 1 Z T 0 i c 0 F 3 W U Q i I C 8 + P E V u d H J 5 I F R 5 c G U 9 I k Z p b G x D b 2 x 1 b W 5 O Y W 1 l c y I g V m F s d W U 9 I n N b J n F 1 b 3 Q 7 e W V h c i Z x d W 9 0 O y w m c X V v d D t y Y W l s c m 9 h Z C Z x d W 9 0 O y w m c X V v d D t z d W 1 f Y 2 F y b G 9 h Z H M m c X V v d D t d I i A v P j x F b n R y e S B U e X B l P S J G a W x s R X J y b 3 J D b 2 R l I i B W Y W x 1 Z T 0 i c 1 V u a 2 5 v d 2 4 i I C 8 + P E V u d H J 5 I F R 5 c G U 9 I k Z p b G x T d G F 0 d X M i I F Z h b H V l P S J z V 2 F p d G l u Z 0 Z v c k V 4 Y 2 V s U m V m c m V z a C I g L z 4 8 R W 5 0 c n k g V H l w Z T 0 i R m l s b E N v d W 5 0 I i B W Y W x 1 Z T 0 i b D A i I C 8 + P E V u d H J 5 I F R 5 c G U 9 I l J l b G F 0 a W 9 u c 2 h p c E l u Z m 9 D b 2 5 0 Y W l u Z X I i I F Z h b H V l P S J z e y Z x d W 9 0 O 2 N v b H V t b k N v d W 5 0 J n F 1 b 3 Q 7 O j M s J n F 1 b 3 Q 7 a 2 V 5 Q 2 9 s d W 1 u T m F t Z X M m c X V v d D s 6 W 1 0 s J n F 1 b 3 Q 7 c X V l c n l S Z W x h d G l v b n N o a X B z J n F 1 b 3 Q 7 O l t d L C Z x d W 9 0 O 2 N v b H V t b k l k Z W 5 0 a X R p Z X M m c X V v d D s 6 W y Z x d W 9 0 O 1 N l Y 3 R p b 2 4 x L 1 F 1 Z X J 5 M S 9 B d X R v U m V t b 3 Z l Z E N v b H V t b n M x L n t 5 Z W F y L D B 9 J n F 1 b 3 Q 7 L C Z x d W 9 0 O 1 N l Y 3 R p b 2 4 x L 1 F 1 Z X J 5 M S 9 B d X R v U m V t b 3 Z l Z E N v b H V t b n M x L n t y Y W l s c m 9 h Z C w x f S Z x d W 9 0 O y w m c X V v d D t T Z W N 0 a W 9 u M S 9 R d W V y e T E v Q X V 0 b 1 J l b W 9 2 Z W R D b 2 x 1 b W 5 z M S 5 7 c 3 V t X 2 N h c m x v Y W R z L D J 9 J n F 1 b 3 Q 7 X S w m c X V v d D t D b 2 x 1 b W 5 D b 3 V u d C Z x d W 9 0 O z o z L C Z x d W 9 0 O 0 t l e U N v b H V t b k 5 h b W V z J n F 1 b 3 Q 7 O l t d L C Z x d W 9 0 O 0 N v b H V t b k l k Z W 5 0 a X R p Z X M m c X V v d D s 6 W y Z x d W 9 0 O 1 N l Y 3 R p b 2 4 x L 1 F 1 Z X J 5 M S 9 B d X R v U m V t b 3 Z l Z E N v b H V t b n M x L n t 5 Z W F y L D B 9 J n F 1 b 3 Q 7 L C Z x d W 9 0 O 1 N l Y 3 R p b 2 4 x L 1 F 1 Z X J 5 M S 9 B d X R v U m V t b 3 Z l Z E N v b H V t b n M x L n t y Y W l s c m 9 h Z C w x f S Z x d W 9 0 O y w m c X V v d D t T Z W N 0 a W 9 u M S 9 R d W V y e T E v Q X V 0 b 1 J l b W 9 2 Z W R D b 2 x 1 b W 5 z M S 5 7 c 3 V t X 2 N h c m x v Y W R z L D J 9 J n F 1 b 3 Q 7 X S w m c X V v d D t S Z W x h d G l v b n N o a X B J b m Z v J n F 1 b 3 Q 7 O l t d f S I g L z 4 8 R W 5 0 c n k g V H l w Z T 0 i Q W R k Z W R U b 0 R h d G F N b 2 R l b C I g V m F s d W U 9 I m w w 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E v U H J v b W 9 0 Z W Q l M j B I Z W F k Z X J z P C 9 J d G V t U G F 0 a D 4 8 L 0 l 0 Z W 1 M b 2 N h d G l v b j 4 8 U 3 R h Y m x l R W 5 0 c m l l c y A v P j w v S X R l b T 4 8 S X R l b T 4 8 S X R l b U x v Y 2 F 0 a W 9 u P j x J d G V t V H l w Z T 5 G b 3 J t d W x h P C 9 J d G V t V H l w Z T 4 8 S X R l b V B h d G g + U 2 V j d G l v b j E v U X V l c n k x L 0 N o Y W 5 n Z W Q l M j B U e X B l P C 9 J d G V t U G F 0 a D 4 8 L 0 l 0 Z W 1 M b 2 N h d G l v b j 4 8 U 3 R h Y m x l R W 5 0 c m l l c y A v P j w v S X R l b T 4 8 L 0 l 0 Z W 1 z P j w v T G 9 j Y W x Q Y W N r Y W d l T W V 0 Y W R h d G F G a W x l P h Y A A A B Q S w U G A A A A A A A A A A A A A A A A A A A A A A A A 2 g A A A A E A A A D Q j J 3 f A R X R E Y x 6 A M B P w p f r A Q A A A J k F M Q p j U c 9 K m J 7 L x 4 y g N H 0 A A A A A A g A A A A A A A 2 Y A A M A A A A A Q A A A A x D 7 G J e e 6 R 9 h u 8 E 2 d e m S z O w A A A A A E g A A A o A A A A B A A A A B 2 e R l c N w q S p R M O B B t C v O s W U A A A A A 8 r R b S P f 1 S 5 2 L U c X X V 2 0 v N s M s W a / J r p 9 c S 2 U f U y Q 3 x 8 A l B c u v P O 6 U 7 8 J d B b 6 q k 3 T 1 j v 0 s Z W f 3 2 s u 6 D L 2 F X P r / X e p d + c u g 0 R o p I L m z 1 C y a K l F A A A A O P 0 x K 8 5 s E i w K I d J a P 6 u R h Y w s W F 4 < / D a t a M a s h u p > 
</file>

<file path=customXml/item2.xml><?xml version="1.0" encoding="utf-8"?>
<ct:contentTypeSchema xmlns:ct="http://schemas.microsoft.com/office/2006/metadata/contentType" xmlns:ma="http://schemas.microsoft.com/office/2006/metadata/properties/metaAttributes" ct:_="" ma:_="" ma:contentTypeName="Document" ma:contentTypeID="0x010100A79C55AAF501CD48B02588050A46B66A" ma:contentTypeVersion="20" ma:contentTypeDescription="Create a new document." ma:contentTypeScope="" ma:versionID="cfbbb72a77ddc149ae5429f8aad3bc86">
  <xsd:schema xmlns:xsd="http://www.w3.org/2001/XMLSchema" xmlns:xs="http://www.w3.org/2001/XMLSchema" xmlns:p="http://schemas.microsoft.com/office/2006/metadata/properties" xmlns:ns1="http://schemas.microsoft.com/sharepoint/v3" xmlns:ns2="e5e636eb-adfb-4590-8a37-683d3312c821" xmlns:ns3="8f98163f-4713-4d38-9764-55bef18e0fec" targetNamespace="http://schemas.microsoft.com/office/2006/metadata/properties" ma:root="true" ma:fieldsID="8aeff91eee669ee1a07d9e9975fcff3e" ns1:_="" ns2:_="" ns3:_="">
    <xsd:import namespace="http://schemas.microsoft.com/sharepoint/v3"/>
    <xsd:import namespace="e5e636eb-adfb-4590-8a37-683d3312c821"/>
    <xsd:import namespace="8f98163f-4713-4d38-9764-55bef18e0fec"/>
    <xsd:element name="properties">
      <xsd:complexType>
        <xsd:sequence>
          <xsd:element name="documentManagement">
            <xsd:complexType>
              <xsd:all>
                <xsd:element ref="ns2:DispositionAuthority" minOccurs="0"/>
                <xsd:element ref="ns3:TaxCatchAll" minOccurs="0"/>
                <xsd:element ref="ns2:Note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e636eb-adfb-4590-8a37-683d3312c821" elementFormDefault="qualified">
    <xsd:import namespace="http://schemas.microsoft.com/office/2006/documentManagement/types"/>
    <xsd:import namespace="http://schemas.microsoft.com/office/infopath/2007/PartnerControls"/>
    <xsd:element name="DispositionAuthority" ma:index="8" nillable="true" ma:displayName="Disposition Authority" ma:format="Dropdown" ma:internalName="DispositionAuthority">
      <xsd:simpleType>
        <xsd:restriction base="dms:Text">
          <xsd:maxLength value="255"/>
        </xsd:restriction>
      </xsd:simpleType>
    </xsd:element>
    <xsd:element name="Notes" ma:index="10" nillable="true" ma:displayName="Notes" ma:format="Dropdown" ma:internalName="Notes">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98163f-4713-4d38-9764-55bef18e0fec"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b6cb4f6c-4c0b-41d2-8ae9-2ada85f8cfb9}" ma:internalName="TaxCatchAll" ma:showField="CatchAllData" ma:web="8f98163f-4713-4d38-9764-55bef18e0f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f98163f-4713-4d38-9764-55bef18e0fec" xsi:nil="true"/>
    <DispositionAuthority xmlns="e5e636eb-adfb-4590-8a37-683d3312c821" xsi:nil="true"/>
    <Notes xmlns="e5e636eb-adfb-4590-8a37-683d3312c821" xsi:nil="true"/>
    <lcf76f155ced4ddcb4097134ff3c332f xmlns="e5e636eb-adfb-4590-8a37-683d3312c82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19F824-5CCE-4FAA-85A6-E56629092FEA}">
  <ds:schemaRefs>
    <ds:schemaRef ds:uri="http://schemas.microsoft.com/DataMashup"/>
  </ds:schemaRefs>
</ds:datastoreItem>
</file>

<file path=customXml/itemProps2.xml><?xml version="1.0" encoding="utf-8"?>
<ds:datastoreItem xmlns:ds="http://schemas.openxmlformats.org/officeDocument/2006/customXml" ds:itemID="{A2FEABE1-7F8A-442F-B3E5-94D16CA72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e636eb-adfb-4590-8a37-683d3312c821"/>
    <ds:schemaRef ds:uri="8f98163f-4713-4d38-9764-55bef18e0f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1901BF-DD94-448E-AAE8-533F42064A3F}">
  <ds:schemaRefs>
    <ds:schemaRef ds:uri="8f98163f-4713-4d38-9764-55bef18e0fec"/>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5e636eb-adfb-4590-8a37-683d3312c821"/>
    <ds:schemaRef ds:uri="http://schemas.microsoft.com/sharepoint/v3"/>
  </ds:schemaRefs>
</ds:datastoreItem>
</file>

<file path=customXml/itemProps4.xml><?xml version="1.0" encoding="utf-8"?>
<ds:datastoreItem xmlns:ds="http://schemas.openxmlformats.org/officeDocument/2006/customXml" ds:itemID="{A2EF6526-E57B-4230-B8B8-1EC4AF023E71}">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Notes</vt:lpstr>
      <vt:lpstr>Weights</vt:lpstr>
      <vt:lpstr>data</vt:lpstr>
      <vt:lpstr>GTR Figure</vt:lpstr>
      <vt:lpstr>'GTR Figure'!Print_Area</vt:lpstr>
    </vt:vector>
  </TitlesOfParts>
  <Manager/>
  <Company>USDA\AMS\TM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Marvin Prater</dc:creator>
  <cp:keywords/>
  <dc:description/>
  <cp:lastModifiedBy>Jesse Gastelle - MRP-AMS</cp:lastModifiedBy>
  <cp:revision/>
  <cp:lastPrinted>2026-06-30T15:19:20Z</cp:lastPrinted>
  <dcterms:created xsi:type="dcterms:W3CDTF">2004-10-13T20:30:39Z</dcterms:created>
  <dcterms:modified xsi:type="dcterms:W3CDTF">2026-06-30T15:21:22Z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0x010100A79C55AAF501CD48B02588050A46B66A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igrated">
    <vt:bool>false</vt:bool>
  </property>
</Properties>
</file>